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Отчет производство" sheetId="4" r:id="rId1"/>
    <sheet name="Лист1" sheetId="1" r:id="rId2"/>
    <sheet name="Лист2" sheetId="2" r:id="rId3"/>
    <sheet name="Лист3" sheetId="3" r:id="rId4"/>
  </sheets>
  <externalReferences>
    <externalReference r:id="rId5"/>
  </externalReferences>
  <definedNames>
    <definedName name="_xlnm.Print_Area" localSheetId="0">'Отчет производство'!$A$1:$G$138</definedName>
  </definedNames>
  <calcPr calcId="145621"/>
</workbook>
</file>

<file path=xl/calcChain.xml><?xml version="1.0" encoding="utf-8"?>
<calcChain xmlns="http://schemas.openxmlformats.org/spreadsheetml/2006/main">
  <c r="E126" i="4" l="1"/>
  <c r="D125" i="4"/>
  <c r="D123" i="4"/>
  <c r="D122" i="4"/>
  <c r="D121" i="4"/>
  <c r="D120" i="4" s="1"/>
  <c r="I111" i="4"/>
  <c r="G111" i="4"/>
  <c r="F111" i="4"/>
  <c r="I109" i="4"/>
  <c r="G109" i="4"/>
  <c r="F109" i="4"/>
  <c r="E108" i="4"/>
  <c r="E110" i="4" s="1"/>
  <c r="I107" i="4"/>
  <c r="F107" i="4"/>
  <c r="I106" i="4"/>
  <c r="F106" i="4"/>
  <c r="I103" i="4"/>
  <c r="F103" i="4"/>
  <c r="E103" i="4"/>
  <c r="G103" i="4" s="1"/>
  <c r="I102" i="4"/>
  <c r="F102" i="4"/>
  <c r="E102" i="4"/>
  <c r="G102" i="4" s="1"/>
  <c r="E101" i="4"/>
  <c r="G101" i="4" s="1"/>
  <c r="D101" i="4"/>
  <c r="F101" i="4" s="1"/>
  <c r="F100" i="4"/>
  <c r="E100" i="4"/>
  <c r="I100" i="4" s="1"/>
  <c r="I99" i="4"/>
  <c r="E99" i="4"/>
  <c r="F99" i="4" s="1"/>
  <c r="I98" i="4"/>
  <c r="F98" i="4"/>
  <c r="E98" i="4"/>
  <c r="E97" i="4"/>
  <c r="I97" i="4" s="1"/>
  <c r="F96" i="4"/>
  <c r="E96" i="4"/>
  <c r="I96" i="4" s="1"/>
  <c r="I95" i="4"/>
  <c r="E95" i="4"/>
  <c r="F95" i="4" s="1"/>
  <c r="I94" i="4"/>
  <c r="F94" i="4"/>
  <c r="E94" i="4"/>
  <c r="E93" i="4"/>
  <c r="I93" i="4" s="1"/>
  <c r="E92" i="4"/>
  <c r="G92" i="4" s="1"/>
  <c r="E91" i="4"/>
  <c r="G91" i="4" s="1"/>
  <c r="E90" i="4"/>
  <c r="G90" i="4" s="1"/>
  <c r="E89" i="4"/>
  <c r="G89" i="4" s="1"/>
  <c r="E88" i="4"/>
  <c r="G88" i="4" s="1"/>
  <c r="E87" i="4"/>
  <c r="G87" i="4" s="1"/>
  <c r="E86" i="4"/>
  <c r="G86" i="4" s="1"/>
  <c r="E85" i="4"/>
  <c r="G85" i="4" s="1"/>
  <c r="E84" i="4"/>
  <c r="G84" i="4" s="1"/>
  <c r="E83" i="4"/>
  <c r="G83" i="4" s="1"/>
  <c r="E82" i="4"/>
  <c r="G82" i="4" s="1"/>
  <c r="E81" i="4"/>
  <c r="G81" i="4" s="1"/>
  <c r="E80" i="4"/>
  <c r="G80" i="4" s="1"/>
  <c r="E79" i="4"/>
  <c r="G79" i="4" s="1"/>
  <c r="E78" i="4"/>
  <c r="G78" i="4" s="1"/>
  <c r="E77" i="4"/>
  <c r="G77" i="4" s="1"/>
  <c r="E76" i="4"/>
  <c r="G76" i="4" s="1"/>
  <c r="E75" i="4"/>
  <c r="G75" i="4" s="1"/>
  <c r="D74" i="4"/>
  <c r="I73" i="4"/>
  <c r="G73" i="4"/>
  <c r="F73" i="4"/>
  <c r="E73" i="4"/>
  <c r="I72" i="4"/>
  <c r="E72" i="4"/>
  <c r="I71" i="4"/>
  <c r="F71" i="4"/>
  <c r="E71" i="4"/>
  <c r="G71" i="4" s="1"/>
  <c r="I70" i="4"/>
  <c r="F70" i="4"/>
  <c r="E70" i="4"/>
  <c r="G70" i="4" s="1"/>
  <c r="E69" i="4"/>
  <c r="G69" i="4" s="1"/>
  <c r="D69" i="4"/>
  <c r="F69" i="4" s="1"/>
  <c r="E68" i="4"/>
  <c r="I67" i="4"/>
  <c r="G67" i="4"/>
  <c r="F67" i="4"/>
  <c r="E67" i="4"/>
  <c r="E123" i="4" s="1"/>
  <c r="F63" i="4"/>
  <c r="E63" i="4"/>
  <c r="I63" i="4" s="1"/>
  <c r="I62" i="4"/>
  <c r="E62" i="4"/>
  <c r="F62" i="4" s="1"/>
  <c r="G61" i="4"/>
  <c r="E61" i="4"/>
  <c r="I61" i="4" s="1"/>
  <c r="I60" i="4"/>
  <c r="G60" i="4"/>
  <c r="F60" i="4"/>
  <c r="I59" i="4"/>
  <c r="G59" i="4"/>
  <c r="F59" i="4"/>
  <c r="E59" i="4"/>
  <c r="I58" i="4"/>
  <c r="G58" i="4"/>
  <c r="F58" i="4"/>
  <c r="E58" i="4"/>
  <c r="I57" i="4"/>
  <c r="G57" i="4"/>
  <c r="F57" i="4"/>
  <c r="E57" i="4"/>
  <c r="I56" i="4"/>
  <c r="G56" i="4"/>
  <c r="F56" i="4"/>
  <c r="E56" i="4"/>
  <c r="I55" i="4"/>
  <c r="G55" i="4"/>
  <c r="F55" i="4"/>
  <c r="E55" i="4"/>
  <c r="I54" i="4"/>
  <c r="G54" i="4"/>
  <c r="F54" i="4"/>
  <c r="E54" i="4"/>
  <c r="I53" i="4"/>
  <c r="G53" i="4"/>
  <c r="F53" i="4"/>
  <c r="E53" i="4"/>
  <c r="I52" i="4"/>
  <c r="G52" i="4"/>
  <c r="F52" i="4"/>
  <c r="E52" i="4"/>
  <c r="I51" i="4"/>
  <c r="G51" i="4"/>
  <c r="F51" i="4"/>
  <c r="E50" i="4"/>
  <c r="E49" i="4"/>
  <c r="D48" i="4"/>
  <c r="I47" i="4"/>
  <c r="G47" i="4"/>
  <c r="F47" i="4"/>
  <c r="E47" i="4"/>
  <c r="E125" i="4" s="1"/>
  <c r="I46" i="4"/>
  <c r="G46" i="4"/>
  <c r="F46" i="4"/>
  <c r="E46" i="4"/>
  <c r="I45" i="4"/>
  <c r="G45" i="4"/>
  <c r="F45" i="4"/>
  <c r="E45" i="4"/>
  <c r="I44" i="4"/>
  <c r="G44" i="4"/>
  <c r="F44" i="4"/>
  <c r="E44" i="4"/>
  <c r="I43" i="4"/>
  <c r="G43" i="4"/>
  <c r="F43" i="4"/>
  <c r="E43" i="4"/>
  <c r="F42" i="4"/>
  <c r="E42" i="4"/>
  <c r="D42" i="4"/>
  <c r="I42" i="4" s="1"/>
  <c r="E41" i="4"/>
  <c r="E127" i="4" s="1"/>
  <c r="I40" i="4"/>
  <c r="F40" i="4"/>
  <c r="E40" i="4"/>
  <c r="E122" i="4" s="1"/>
  <c r="E38" i="4"/>
  <c r="E37" i="4"/>
  <c r="E36" i="4"/>
  <c r="E35" i="4"/>
  <c r="E34" i="4"/>
  <c r="D34" i="4"/>
  <c r="D33" i="4"/>
  <c r="D31" i="4" s="1"/>
  <c r="G32" i="4"/>
  <c r="E32" i="4"/>
  <c r="I30" i="4"/>
  <c r="F30" i="4"/>
  <c r="E30" i="4"/>
  <c r="G30" i="4" s="1"/>
  <c r="I29" i="4"/>
  <c r="G29" i="4"/>
  <c r="F29" i="4"/>
  <c r="I28" i="4"/>
  <c r="G28" i="4"/>
  <c r="F28" i="4"/>
  <c r="I27" i="4"/>
  <c r="G27" i="4"/>
  <c r="F27" i="4"/>
  <c r="E27" i="4"/>
  <c r="F26" i="4"/>
  <c r="E26" i="4"/>
  <c r="D26" i="4"/>
  <c r="I26" i="4" s="1"/>
  <c r="E25" i="4"/>
  <c r="I24" i="4"/>
  <c r="F24" i="4"/>
  <c r="E24" i="4"/>
  <c r="G24" i="4" s="1"/>
  <c r="E23" i="4"/>
  <c r="D23" i="4"/>
  <c r="I22" i="4"/>
  <c r="G22" i="4"/>
  <c r="F22" i="4"/>
  <c r="I21" i="4"/>
  <c r="G21" i="4"/>
  <c r="F21" i="4"/>
  <c r="I20" i="4"/>
  <c r="G20" i="4"/>
  <c r="F20" i="4"/>
  <c r="I19" i="4"/>
  <c r="G19" i="4"/>
  <c r="F19" i="4"/>
  <c r="E18" i="4"/>
  <c r="D18" i="4"/>
  <c r="I17" i="4"/>
  <c r="F17" i="4"/>
  <c r="E17" i="4"/>
  <c r="G17" i="4" s="1"/>
  <c r="I16" i="4"/>
  <c r="F16" i="4"/>
  <c r="E16" i="4"/>
  <c r="G16" i="4" s="1"/>
  <c r="F15" i="4"/>
  <c r="E15" i="4"/>
  <c r="G15" i="4" s="1"/>
  <c r="D15" i="4"/>
  <c r="I15" i="4" s="1"/>
  <c r="G14" i="4"/>
  <c r="E14" i="4"/>
  <c r="I14" i="4" s="1"/>
  <c r="D14" i="4"/>
  <c r="I13" i="4"/>
  <c r="F13" i="4"/>
  <c r="E13" i="4"/>
  <c r="G13" i="4" s="1"/>
  <c r="I12" i="4"/>
  <c r="F12" i="4"/>
  <c r="E12" i="4"/>
  <c r="G12" i="4" s="1"/>
  <c r="D11" i="4"/>
  <c r="E10" i="4"/>
  <c r="E9" i="4"/>
  <c r="E8" i="4"/>
  <c r="D8" i="4"/>
  <c r="F35" i="4" l="1"/>
  <c r="I35" i="4"/>
  <c r="G35" i="4"/>
  <c r="E112" i="4"/>
  <c r="E11" i="4"/>
  <c r="F9" i="4"/>
  <c r="I9" i="4"/>
  <c r="G9" i="4"/>
  <c r="G50" i="4"/>
  <c r="F50" i="4"/>
  <c r="I50" i="4"/>
  <c r="F10" i="4"/>
  <c r="I10" i="4"/>
  <c r="G10" i="4"/>
  <c r="G37" i="4"/>
  <c r="F37" i="4"/>
  <c r="I37" i="4"/>
  <c r="G8" i="4"/>
  <c r="F8" i="4"/>
  <c r="I8" i="4"/>
  <c r="E7" i="4"/>
  <c r="G18" i="4"/>
  <c r="F18" i="4"/>
  <c r="I18" i="4"/>
  <c r="G49" i="4"/>
  <c r="F49" i="4"/>
  <c r="I49" i="4"/>
  <c r="D7" i="4"/>
  <c r="D25" i="4"/>
  <c r="G25" i="4" s="1"/>
  <c r="F23" i="4"/>
  <c r="F36" i="4"/>
  <c r="I36" i="4"/>
  <c r="G36" i="4"/>
  <c r="G23" i="4"/>
  <c r="I23" i="4"/>
  <c r="I25" i="4"/>
  <c r="G34" i="4"/>
  <c r="F34" i="4"/>
  <c r="I34" i="4"/>
  <c r="E33" i="4"/>
  <c r="E31" i="4" s="1"/>
  <c r="F38" i="4"/>
  <c r="I38" i="4"/>
  <c r="G38" i="4"/>
  <c r="E48" i="4"/>
  <c r="F14" i="4"/>
  <c r="F25" i="4"/>
  <c r="F32" i="4"/>
  <c r="G40" i="4"/>
  <c r="F61" i="4"/>
  <c r="E66" i="4"/>
  <c r="D68" i="4"/>
  <c r="D66" i="4" s="1"/>
  <c r="D65" i="4" s="1"/>
  <c r="D64" i="4" s="1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69" i="4"/>
  <c r="E74" i="4"/>
  <c r="I101" i="4"/>
  <c r="G26" i="4"/>
  <c r="I32" i="4"/>
  <c r="E39" i="4"/>
  <c r="D41" i="4"/>
  <c r="G42" i="4"/>
  <c r="F68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7" i="4"/>
  <c r="E121" i="4"/>
  <c r="E120" i="4" s="1"/>
  <c r="I31" i="4" l="1"/>
  <c r="F31" i="4"/>
  <c r="G31" i="4"/>
  <c r="I66" i="4"/>
  <c r="E65" i="4"/>
  <c r="G66" i="4"/>
  <c r="F66" i="4"/>
  <c r="F11" i="4"/>
  <c r="G11" i="4"/>
  <c r="I11" i="4"/>
  <c r="G39" i="4"/>
  <c r="G74" i="4"/>
  <c r="F74" i="4"/>
  <c r="I74" i="4"/>
  <c r="D127" i="4"/>
  <c r="D39" i="4"/>
  <c r="I39" i="4" s="1"/>
  <c r="G41" i="4"/>
  <c r="I68" i="4"/>
  <c r="F41" i="4"/>
  <c r="G7" i="4"/>
  <c r="I7" i="4"/>
  <c r="E6" i="4"/>
  <c r="F7" i="4"/>
  <c r="G68" i="4"/>
  <c r="I41" i="4"/>
  <c r="G48" i="4"/>
  <c r="F48" i="4"/>
  <c r="I48" i="4"/>
  <c r="G33" i="4"/>
  <c r="I33" i="4"/>
  <c r="F33" i="4"/>
  <c r="G6" i="4" l="1"/>
  <c r="F39" i="4"/>
  <c r="D6" i="4"/>
  <c r="D104" i="4" s="1"/>
  <c r="D108" i="4" s="1"/>
  <c r="I65" i="4"/>
  <c r="E64" i="4"/>
  <c r="F65" i="4"/>
  <c r="G65" i="4"/>
  <c r="F64" i="4" l="1"/>
  <c r="I64" i="4"/>
  <c r="G64" i="4"/>
  <c r="F6" i="4"/>
  <c r="D110" i="4"/>
  <c r="G108" i="4"/>
  <c r="F108" i="4"/>
  <c r="I108" i="4"/>
  <c r="I6" i="4"/>
  <c r="E104" i="4"/>
  <c r="E105" i="4" l="1"/>
  <c r="I104" i="4"/>
  <c r="G104" i="4"/>
  <c r="F104" i="4"/>
  <c r="D112" i="4"/>
  <c r="I110" i="4"/>
  <c r="G110" i="4"/>
  <c r="F110" i="4"/>
  <c r="G112" i="4" l="1"/>
  <c r="F112" i="4"/>
  <c r="I112" i="4"/>
  <c r="I105" i="4"/>
  <c r="F105" i="4"/>
</calcChain>
</file>

<file path=xl/sharedStrings.xml><?xml version="1.0" encoding="utf-8"?>
<sst xmlns="http://schemas.openxmlformats.org/spreadsheetml/2006/main" count="409" uniqueCount="285">
  <si>
    <t>Отчет об исполнении тарифной сметы АО "Таразэнергоцентр" на производство тепловой энергии  за  2025 года</t>
  </si>
  <si>
    <t>№ п/п</t>
  </si>
  <si>
    <t>Наименование показателей тарифной сметы</t>
  </si>
  <si>
    <t>Ед. изм.</t>
  </si>
  <si>
    <t xml:space="preserve">Предусмотрено в утвержденной тарифной смете </t>
  </si>
  <si>
    <t xml:space="preserve">Фактически сложивщиеся показатели на  2025г  </t>
  </si>
  <si>
    <t>Отклонение в тенге</t>
  </si>
  <si>
    <t>Исполнение в %</t>
  </si>
  <si>
    <t>Причины отклонения</t>
  </si>
  <si>
    <t>I</t>
  </si>
  <si>
    <t xml:space="preserve">Затраты на производство товаров и предоставление услуг (работ) - всего </t>
  </si>
  <si>
    <t>тыс. тенге</t>
  </si>
  <si>
    <t>Основную часть затрат предприятия при производстве тепловой энергии занимают материальные затраты, в том числе приобретение топлива (товарный газ) у АО «Qazaq Gaz Aimaq».В 2025 году АО «Qazaq Gaz Aimaq» увеличило цену на газ: с 1 апреля и с 1 июля для всех категорий, с 1 сентября для производства электрической энергии. Совокупный рост отпускных цен на газ составил 26% для производства тепловой энергии и 29% для производства электроэнергии. 
В результате указанных повышений, убыток из-за разницы цены на газ в тарифе на производство тепловой энергии за 2025 год составил 145,795 млн. тенге (АО «ТЭЦ» на ЧРМ по газу не подавала заявку, т.к.разрешенная  заявка была использовано в начале 2025 года).</t>
  </si>
  <si>
    <t>Материальные затраты, всего в т. ч.</t>
  </si>
  <si>
    <t>1.1.</t>
  </si>
  <si>
    <t>Сырье и материалы</t>
  </si>
  <si>
    <t>Фактическое превышение затрат в связи с увеличением расходов по химич.реагентам на ХВО, в т.ч. расходы серной кислоты на подготовку обессоленной воды и поваренной соли на подготовку химочищенной воды</t>
  </si>
  <si>
    <t>1.1.1</t>
  </si>
  <si>
    <t>Вода городская</t>
  </si>
  <si>
    <t>1.1.1.1</t>
  </si>
  <si>
    <t xml:space="preserve">объем вода </t>
  </si>
  <si>
    <t>тыс.м3</t>
  </si>
  <si>
    <t>уменьшение подпитки в тепловых сетях энергопередающей организации</t>
  </si>
  <si>
    <t>1.1.1.2</t>
  </si>
  <si>
    <t>цена вода</t>
  </si>
  <si>
    <t>тенге</t>
  </si>
  <si>
    <t>повышение тарифа на услуги водоснабжающей организации</t>
  </si>
  <si>
    <t>1.1.2</t>
  </si>
  <si>
    <t>стоки</t>
  </si>
  <si>
    <t xml:space="preserve">  - " - </t>
  </si>
  <si>
    <t>1.1.2.1</t>
  </si>
  <si>
    <t>объем стоки</t>
  </si>
  <si>
    <t>изменение технологического режима работы станции из-за аварийного останова трансформатора Т-1 и останова турбогенератора №1</t>
  </si>
  <si>
    <t>1.1.2.2</t>
  </si>
  <si>
    <t>цена стоки</t>
  </si>
  <si>
    <t>понижение тарифа на услуги канализации</t>
  </si>
  <si>
    <t>1.2</t>
  </si>
  <si>
    <t>Топливо</t>
  </si>
  <si>
    <t>тыс.тенге</t>
  </si>
  <si>
    <t>1.2.1</t>
  </si>
  <si>
    <t>сумма</t>
  </si>
  <si>
    <t>повышение тарифа на услуги поставки природного газа</t>
  </si>
  <si>
    <t>1.2.2</t>
  </si>
  <si>
    <t>объем газ</t>
  </si>
  <si>
    <t>отклонение в пределах допустимых</t>
  </si>
  <si>
    <t>1.2.3</t>
  </si>
  <si>
    <t>цена газ</t>
  </si>
  <si>
    <t>в том числе: мазут</t>
  </si>
  <si>
    <t>1.2.4</t>
  </si>
  <si>
    <t>1.2.5</t>
  </si>
  <si>
    <t>объем мазут</t>
  </si>
  <si>
    <t>тонн</t>
  </si>
  <si>
    <t>1.2.6</t>
  </si>
  <si>
    <t>цена мазута</t>
  </si>
  <si>
    <t>1.3</t>
  </si>
  <si>
    <t>Электроэнергия</t>
  </si>
  <si>
    <t>1.3.1</t>
  </si>
  <si>
    <t>объем</t>
  </si>
  <si>
    <t>тыс.квт/ч</t>
  </si>
  <si>
    <t>работа дополнительно водогрейных котлов, в связи с выходом из строя трансформатора Т-1 (январь-апрель), ввод в работу дополнительных сетевых насосов для поддержания гидравлического режима, в связи с увеличением числа потребителей</t>
  </si>
  <si>
    <t>1.3.2</t>
  </si>
  <si>
    <t>цена</t>
  </si>
  <si>
    <t>повышение тарифа на услуги передачи электроэнергии</t>
  </si>
  <si>
    <t>1.4</t>
  </si>
  <si>
    <t>Вспомогательные материалы, в том числе</t>
  </si>
  <si>
    <t>1.4.1</t>
  </si>
  <si>
    <t>химреагенты</t>
  </si>
  <si>
    <t>Фактическое превышение затрат в связи с увеличением расходов по химич. реагентам на ХВО, в т.ч. расходы серной кислоты на подготовку обессоленной воды и поваренной соли на подготовку химочищенной воды</t>
  </si>
  <si>
    <t>1.4.2</t>
  </si>
  <si>
    <t>компенсационные затраты на охрану труда</t>
  </si>
  <si>
    <t>в тарифной смете были заложены минимальные затраты, фактические затраты связаны с увеличением количества закупа спец. одежды, обуви, фуфаек, химических средств и  затраты на компенсацию вредных условий (молоко, мыло, стир. порошок).</t>
  </si>
  <si>
    <t>1.4.3</t>
  </si>
  <si>
    <t>прочие</t>
  </si>
  <si>
    <t>фактическое уменьшение затрат, за счет снижения объема закупа технических масел</t>
  </si>
  <si>
    <t>1.5</t>
  </si>
  <si>
    <t>ГСМ</t>
  </si>
  <si>
    <t>Уменьшение затрат, в связи с передачей снабжения тепловой энергии с 01.07.2025 г. в ГКП "Таразтрансэнерго" и уменьшением пробегов автотранспорта</t>
  </si>
  <si>
    <t>Расходы на оплату труда, всего в т. ч.</t>
  </si>
  <si>
    <t>2.1</t>
  </si>
  <si>
    <t>заработная плата производственного персонала</t>
  </si>
  <si>
    <t>2.2</t>
  </si>
  <si>
    <t>социальные выплаты, в том числе:</t>
  </si>
  <si>
    <t>социальный налог</t>
  </si>
  <si>
    <t>социальные отчисления</t>
  </si>
  <si>
    <t xml:space="preserve">на снижение затрат повлияли, повышение зарплаты не полной мере от планируемого, так как предприятие находится на стадий реабилитации (с 01.06.2024 г.) </t>
  </si>
  <si>
    <t>ОСМС</t>
  </si>
  <si>
    <t>2.3</t>
  </si>
  <si>
    <t>ОППВ</t>
  </si>
  <si>
    <t xml:space="preserve">Амортизация </t>
  </si>
  <si>
    <t>Увеличение затрат в связи с вводом в эксплуатацию (закуп) новых трансформаторов Т-1 и Т-2 на ОРУ 110/35/6 кВ ТЭЦ-4</t>
  </si>
  <si>
    <t>Ремонт, всего, в т. ч.</t>
  </si>
  <si>
    <t>4.2</t>
  </si>
  <si>
    <t>заработная плата</t>
  </si>
  <si>
    <t>4.3</t>
  </si>
  <si>
    <t>4.4</t>
  </si>
  <si>
    <t>4.5</t>
  </si>
  <si>
    <t>4.7</t>
  </si>
  <si>
    <t>Услуги автовышки</t>
  </si>
  <si>
    <t>Повышение затрат, из-за отсутствия автокрана на предприятии</t>
  </si>
  <si>
    <t>4.8</t>
  </si>
  <si>
    <t>ремонт  не приводящий к увеличению стоимости основных средств</t>
  </si>
  <si>
    <t>Увеличение затрат в связи с выполнением дополнительных ремонтно-восстановительных работ на оборудовании ТЭЦ-4 и РК-4, в том числе текущие ремонты ТГ-1 и КВГМ-4 РК-4 и насосного оборудования предприятия</t>
  </si>
  <si>
    <t>Прочие затраты (расшифровать)</t>
  </si>
  <si>
    <t>5.1</t>
  </si>
  <si>
    <t xml:space="preserve">лабораторные обследования </t>
  </si>
  <si>
    <t>повышение стоимости услуг на лабораторно-инструментальные исследования (воды артскважин и уходящих газов котлов)</t>
  </si>
  <si>
    <t>5.2</t>
  </si>
  <si>
    <t xml:space="preserve">контроль за выбросами и сбросами вредных веществ от источников загрязнений, инструментальные замеры выбросов пыли в атмосферу от участка деревообработки, проведение анализов веществ в сточных водах аспан </t>
  </si>
  <si>
    <t>5.3</t>
  </si>
  <si>
    <t>дезинфекция, дератизация производственных помещений</t>
  </si>
  <si>
    <t>по итогам госзакупок, затраты перенесены на 2026 год</t>
  </si>
  <si>
    <t>5.4</t>
  </si>
  <si>
    <t>поверка приборов измерений (поверка газовых счетчиков, водомеров, средств измерений, средств защиты и прочие)</t>
  </si>
  <si>
    <t xml:space="preserve">повышение стоимости услуг </t>
  </si>
  <si>
    <t>5.5</t>
  </si>
  <si>
    <t>ежегодный техосмотр автотранспорта</t>
  </si>
  <si>
    <t>уменьшение количества автопарка</t>
  </si>
  <si>
    <t>5.6</t>
  </si>
  <si>
    <t xml:space="preserve">поверка приборов учета газа </t>
  </si>
  <si>
    <t xml:space="preserve">потребованию поставщика услуг увеличено количество приборов, требующих поверки, повышение стоимости услуг </t>
  </si>
  <si>
    <t>5.7</t>
  </si>
  <si>
    <t xml:space="preserve">экспертное обследование и  техническое диагностирование паровых котлов (паспорт на отп период ежегодно) </t>
  </si>
  <si>
    <t xml:space="preserve">в связи с износом основного оборудования увеличено количество обследований, а также связана с повышением стоимости услуг </t>
  </si>
  <si>
    <t>5.8</t>
  </si>
  <si>
    <t>экспертное обследование энергооборудования (контуры заземления ежегодно)</t>
  </si>
  <si>
    <t>перемотка электродвигателей, в т.ч.  ДАЗО -4-400 630 кВт 1500 об/мин (СН-2), испытание кабелей</t>
  </si>
  <si>
    <t>5.9</t>
  </si>
  <si>
    <t>ж/д услуги</t>
  </si>
  <si>
    <t>увеличение затрат на услуги по техническому обслуживанию железнодорожных путей</t>
  </si>
  <si>
    <t>5.10</t>
  </si>
  <si>
    <t>проведение верификации отчетов об инвентаризации парниковых газов</t>
  </si>
  <si>
    <t>доплнительные затраты на услуги по подготовке/верификации/сопровождению/составлению в области экологии отчетов</t>
  </si>
  <si>
    <t>5.11</t>
  </si>
  <si>
    <t>монтаж демонтаж кондиционеров</t>
  </si>
  <si>
    <t>затраты связаны с увеличением количества поломок кондиционеров и их замена</t>
  </si>
  <si>
    <t>5.12</t>
  </si>
  <si>
    <t>перезарядка огнетушителей</t>
  </si>
  <si>
    <t xml:space="preserve">перезарядка перенесена на 2026 год в соответствии с установленными  сроками </t>
  </si>
  <si>
    <t>5.13</t>
  </si>
  <si>
    <t>услуги по обучению /подготовке/переподготовке/повышению квалификации</t>
  </si>
  <si>
    <t>5.14</t>
  </si>
  <si>
    <t xml:space="preserve">строительная услуга/изготовление и монтаж </t>
  </si>
  <si>
    <t>вновь возникшие единовременные затраты, вызванные необходимостью замен стекол, пластиковых окон на ЦЩУ и производств. зданий</t>
  </si>
  <si>
    <t>5.15</t>
  </si>
  <si>
    <t>техническое обслуживание</t>
  </si>
  <si>
    <t>Обследованию парового котла БКЗ-160-100 ГМ, ст №3 и ст №1</t>
  </si>
  <si>
    <t>II</t>
  </si>
  <si>
    <t>Расходы периода - всего, в т.ч.</t>
  </si>
  <si>
    <t xml:space="preserve">Общие и административные расходы, всего </t>
  </si>
  <si>
    <t>6.1</t>
  </si>
  <si>
    <t>Затраты на оплату труда административного персонала,всего</t>
  </si>
  <si>
    <t>в пределах 5%</t>
  </si>
  <si>
    <t>6.2</t>
  </si>
  <si>
    <t>заработная плата административного персонала,всего</t>
  </si>
  <si>
    <t>6.3</t>
  </si>
  <si>
    <t>Социальные выплаты, всего, в том числе:</t>
  </si>
  <si>
    <t>6.4</t>
  </si>
  <si>
    <t xml:space="preserve">  социальный налог 6%</t>
  </si>
  <si>
    <t>6.5</t>
  </si>
  <si>
    <t xml:space="preserve">  социальные отчисления 3,5% (с 25г 5%)</t>
  </si>
  <si>
    <t>6.6</t>
  </si>
  <si>
    <t xml:space="preserve">  ОСМС (с 20 г 2%, с 22 г 3%)</t>
  </si>
  <si>
    <t>ОПВР</t>
  </si>
  <si>
    <t>вновь возникшие затраты пенсионных отчислений работникам за счет средств предприятия с 01.01.2024 г.</t>
  </si>
  <si>
    <t>6.7</t>
  </si>
  <si>
    <t xml:space="preserve">  Налоги</t>
  </si>
  <si>
    <t xml:space="preserve"> связано с увеличением пенсионных расходов на ОПВР </t>
  </si>
  <si>
    <t>Другие административные расходы (расшифровать)</t>
  </si>
  <si>
    <t>6.2.1</t>
  </si>
  <si>
    <t>увеличение в связи с передачей снабжения в  ГКП ТТЭ</t>
  </si>
  <si>
    <t>6.2.2</t>
  </si>
  <si>
    <t>услуги банка</t>
  </si>
  <si>
    <t>ТОО Kaspi Pay.    Увеличение услуг по обеспеч информ и тех взаим</t>
  </si>
  <si>
    <t>6.2.3</t>
  </si>
  <si>
    <t>расходы на содержание и обслуживание технических средств управлении, вычислительной техники и т.д.</t>
  </si>
  <si>
    <t>Увеличение расходов на содержание оргтехники</t>
  </si>
  <si>
    <t>6.2.4</t>
  </si>
  <si>
    <t>командировочные расходы</t>
  </si>
  <si>
    <t>увеличение за счет незапланированных поездок в Астану (вручение наград, совещания в МЭ)</t>
  </si>
  <si>
    <t>6.2.5</t>
  </si>
  <si>
    <t>информационные услуги</t>
  </si>
  <si>
    <t xml:space="preserve">дополн. затраты на объявление в газету "Знамя труда" по итогам финансового отчета, тарифной сметы  и изготовление стенда </t>
  </si>
  <si>
    <t>6.2.6</t>
  </si>
  <si>
    <t>услуги связи</t>
  </si>
  <si>
    <t>увеличение затрат за счет повышения абонентской платы за интернет и телефон. связь</t>
  </si>
  <si>
    <t>6.2.7</t>
  </si>
  <si>
    <t>Услуги по проведению аудита финансовой отчетности</t>
  </si>
  <si>
    <t>увеличение стоимости энергоаудита</t>
  </si>
  <si>
    <t>6.2.8</t>
  </si>
  <si>
    <t>содержание легковых автомобилей</t>
  </si>
  <si>
    <t>Ремонт спецтехники Амкодор и МТЗ-80, а  также ремонт легковых автомобилей</t>
  </si>
  <si>
    <t>6.2.9</t>
  </si>
  <si>
    <t>Канцелярские товары</t>
  </si>
  <si>
    <t xml:space="preserve">Уменьшение затрат, в связи с передачей снабжения тепловой энергии с 01.07.2025 г. в ГКП "Таразтрансэнерго" </t>
  </si>
  <si>
    <t>6.2.10</t>
  </si>
  <si>
    <t>техническое обслуживание системы охранно-пожарной сигнализации</t>
  </si>
  <si>
    <t>перенос на 2026 г.</t>
  </si>
  <si>
    <t>6.2.11</t>
  </si>
  <si>
    <t>услуги почты</t>
  </si>
  <si>
    <t>6.2.12</t>
  </si>
  <si>
    <t>обеспечение безопасности, охрана территории и объектов АО ТЭЦ</t>
  </si>
  <si>
    <t>повышение тарифа  ГУ УССО на услуги</t>
  </si>
  <si>
    <t>6.2.13</t>
  </si>
  <si>
    <t>профосмотр (ежегодно)</t>
  </si>
  <si>
    <t>6.2.14</t>
  </si>
  <si>
    <t>подписка на периодические издания</t>
  </si>
  <si>
    <t>увеличение затрат, за счет подачи заявки на инфо-консульт. обслуживание ИС</t>
  </si>
  <si>
    <t>6.2.15</t>
  </si>
  <si>
    <t>услуги по осуществлению деятельности по ведению реестров держателей ценных бумаг</t>
  </si>
  <si>
    <t>Возобновление оказания услуг, с АО "Центральный депозитарий ценных бумаг</t>
  </si>
  <si>
    <t>6.2.16</t>
  </si>
  <si>
    <t>программное сопровождение программы 1С</t>
  </si>
  <si>
    <t>6.2.17</t>
  </si>
  <si>
    <t>типографские услуги</t>
  </si>
  <si>
    <t xml:space="preserve">увеличение затрат, за счет заявки на изготовление суточных ведомостей, оперативн. журналов </t>
  </si>
  <si>
    <t>6.2.18</t>
  </si>
  <si>
    <t>услуги консалтинговые</t>
  </si>
  <si>
    <t>разработка ФЭО на закуп Т-1,2, сметной документации на АБ-2 РК-4, услуги оценки для тарифа 2026</t>
  </si>
  <si>
    <t>6.2.19</t>
  </si>
  <si>
    <t>услуги по предоставлению лицензий на право использования оригиналов печатных изданий</t>
  </si>
  <si>
    <t xml:space="preserve">вновь возникшие единовременные затраты </t>
  </si>
  <si>
    <t>6.2.20</t>
  </si>
  <si>
    <t>услуги нотариуса</t>
  </si>
  <si>
    <t>вновь возникшие единовременные затраты, для заключ договоров с ЧСИ; регистрация прав на недвижмое имущество</t>
  </si>
  <si>
    <t>6.2.21</t>
  </si>
  <si>
    <t>полиграфическая услуга</t>
  </si>
  <si>
    <t>вновь возникшие единовременные затраты,для изготовления штампов и услуг</t>
  </si>
  <si>
    <t>6.2.22</t>
  </si>
  <si>
    <t>транспортно-экспедиционная услуга</t>
  </si>
  <si>
    <t>вновь возникшие единовременные затраты доставка приборов автотранспортом</t>
  </si>
  <si>
    <t>6.2.23</t>
  </si>
  <si>
    <t>Страхование ОГПО владельцев транспортных средств</t>
  </si>
  <si>
    <t>6.2.24</t>
  </si>
  <si>
    <t>медикаменты</t>
  </si>
  <si>
    <t>замена лекарств, у которых  истек срок годности</t>
  </si>
  <si>
    <t>6.2.25</t>
  </si>
  <si>
    <t>услуги питание</t>
  </si>
  <si>
    <t>питание работников в столовой за счет ТЭЦ 11,43%, согласно колл. договору</t>
  </si>
  <si>
    <t>6.2.26</t>
  </si>
  <si>
    <t>Услуги по разработке проекта сан.защитной зоны</t>
  </si>
  <si>
    <t>вновь возникшие единовременные затраты на разработку проекта СЗЗ РК-4</t>
  </si>
  <si>
    <t>7</t>
  </si>
  <si>
    <t>Прочие расходы</t>
  </si>
  <si>
    <t>7.1</t>
  </si>
  <si>
    <t xml:space="preserve">страхование машин </t>
  </si>
  <si>
    <t>увеличение стоимости услуги</t>
  </si>
  <si>
    <t>7.2</t>
  </si>
  <si>
    <t xml:space="preserve">обязательное страхование работников </t>
  </si>
  <si>
    <t>увеличение стоимости услуги, а также было занижено при составлении ТС</t>
  </si>
  <si>
    <t>III</t>
  </si>
  <si>
    <t>Всего затрат  на предоставление услуг</t>
  </si>
  <si>
    <t>VII</t>
  </si>
  <si>
    <t>Прибыль (+), убыток (-)</t>
  </si>
  <si>
    <t>Основными факторами превышения расходов над доходами являются: увеличение затрат на топливо (повыш. тарифа), воду (повыш. тарифа), электроэнергию (повыш. тарифа на передачу), химреагенты и др.</t>
  </si>
  <si>
    <t>IV</t>
  </si>
  <si>
    <t>Доход (РБА*СП/(1-(КДП/100))))</t>
  </si>
  <si>
    <t>V</t>
  </si>
  <si>
    <t>Регулируемая база задействованных активов (РБА)</t>
  </si>
  <si>
    <t>VI</t>
  </si>
  <si>
    <t>Всего доходов</t>
  </si>
  <si>
    <t>Уменьшение доходов, за счет повышение тарифов на газ, воду и электроэнергию</t>
  </si>
  <si>
    <t>сумма невозмещенного дохода</t>
  </si>
  <si>
    <t>за минусом</t>
  </si>
  <si>
    <t>Объем оказываемых услуг</t>
  </si>
  <si>
    <t>Г кал</t>
  </si>
  <si>
    <t>VIII</t>
  </si>
  <si>
    <t>Тариф</t>
  </si>
  <si>
    <t>тенге/ Г кал</t>
  </si>
  <si>
    <t>за счет уменьшения объема реализации (доходов)</t>
  </si>
  <si>
    <t>Справочно:</t>
  </si>
  <si>
    <t>Среднесписочная численность персонала,</t>
  </si>
  <si>
    <t>человек</t>
  </si>
  <si>
    <t>в том числе:</t>
  </si>
  <si>
    <t>производственного</t>
  </si>
  <si>
    <t>ремонтного</t>
  </si>
  <si>
    <t>административного</t>
  </si>
  <si>
    <t>Среднемесячная заработная плата, всего, в т.ч.</t>
  </si>
  <si>
    <t>Ремонт, не приводящий к росту стоимости основных средств всего</t>
  </si>
  <si>
    <t>Материалы на ремонт</t>
  </si>
  <si>
    <t>Заработная плата</t>
  </si>
  <si>
    <t>Социальный налог и социальные отчисления, ОСМС</t>
  </si>
  <si>
    <t>Реабилитационный управляющий</t>
  </si>
  <si>
    <t xml:space="preserve">Ж.А.Булекбаев </t>
  </si>
  <si>
    <t>Главный бухгалтер</t>
  </si>
  <si>
    <t>Т.С.Гайшунова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</si>
</sst>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,##0.000"/>
    <numFmt numFmtId="165" formatCode="#,##0.00&quot; &quot;[$руб.-419];[Red]&quot;-&quot;#,##0.00&quot; &quot;[$руб.-419]"/>
    <numFmt numFmtId="166" formatCode="#,##0.00&quot;р.&quot;;[Red]\-#,##0.00&quot;р.&quot;"/>
    <numFmt numFmtId="167" formatCode="_-* #,##0.00_р_._-;\-* #,##0.00_р_._-;_-* &quot;-&quot;??_р_._-;_-@_-"/>
    <numFmt numFmtId="168" formatCode="_-* #,##0.00_-;\-* #,##0.00_-;_-* &quot;-&quot;??_-;_-@_-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Arial"/>
      <family val="2"/>
      <charset val="177"/>
    </font>
    <font>
      <sz val="11"/>
      <color indexed="8"/>
      <name val="Arial"/>
      <family val="2"/>
      <charset val="177"/>
    </font>
    <font>
      <sz val="11"/>
      <color indexed="9"/>
      <name val="Arial"/>
      <family val="2"/>
      <charset val="177"/>
    </font>
    <font>
      <sz val="11"/>
      <color indexed="20"/>
      <name val="Arial"/>
      <family val="2"/>
      <charset val="177"/>
    </font>
    <font>
      <b/>
      <sz val="11"/>
      <color indexed="10"/>
      <name val="Arial"/>
      <family val="2"/>
      <charset val="177"/>
    </font>
    <font>
      <b/>
      <sz val="11"/>
      <color indexed="9"/>
      <name val="Arial"/>
      <family val="2"/>
      <charset val="177"/>
    </font>
    <font>
      <sz val="11"/>
      <color indexed="8"/>
      <name val="Calibri"/>
      <family val="2"/>
      <charset val="204"/>
    </font>
    <font>
      <i/>
      <sz val="11"/>
      <color indexed="23"/>
      <name val="Arial"/>
      <family val="2"/>
      <charset val="177"/>
    </font>
    <font>
      <sz val="11"/>
      <color indexed="17"/>
      <name val="Arial"/>
      <family val="2"/>
      <charset val="177"/>
    </font>
    <font>
      <b/>
      <i/>
      <sz val="16"/>
      <color theme="1"/>
      <name val="Arial"/>
      <family val="2"/>
      <charset val="204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b/>
      <i/>
      <sz val="16"/>
      <color indexed="8"/>
      <name val="Arial"/>
      <family val="2"/>
      <charset val="204"/>
    </font>
    <font>
      <sz val="11"/>
      <color indexed="62"/>
      <name val="Arial"/>
      <family val="2"/>
      <charset val="177"/>
    </font>
    <font>
      <sz val="11"/>
      <color indexed="10"/>
      <name val="Arial"/>
      <family val="2"/>
      <charset val="177"/>
    </font>
    <font>
      <sz val="10"/>
      <name val="Arial"/>
      <family val="2"/>
      <charset val="177"/>
    </font>
    <font>
      <sz val="11"/>
      <color indexed="19"/>
      <name val="Arial"/>
      <family val="2"/>
      <charset val="177"/>
    </font>
    <font>
      <sz val="12"/>
      <name val="Courier"/>
      <family val="1"/>
      <charset val="204"/>
    </font>
    <font>
      <sz val="10"/>
      <name val="Arial"/>
      <family val="2"/>
      <charset val="204"/>
    </font>
    <font>
      <b/>
      <sz val="11"/>
      <color indexed="63"/>
      <name val="Arial"/>
      <family val="2"/>
      <charset val="177"/>
    </font>
    <font>
      <b/>
      <i/>
      <u/>
      <sz val="11"/>
      <color theme="1"/>
      <name val="Arial"/>
      <family val="2"/>
      <charset val="204"/>
    </font>
    <font>
      <b/>
      <sz val="18"/>
      <color indexed="62"/>
      <name val="Times New Roman"/>
      <family val="2"/>
      <charset val="177"/>
    </font>
    <font>
      <b/>
      <sz val="11"/>
      <color indexed="8"/>
      <name val="Arial"/>
      <family val="2"/>
      <charset val="177"/>
    </font>
    <font>
      <u/>
      <sz val="11"/>
      <color theme="10"/>
      <name val="Calibri"/>
      <family val="2"/>
      <scheme val="minor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10"/>
      <name val="Times New Roman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Arial"/>
      <family val="2"/>
      <charset val="204"/>
    </font>
    <font>
      <sz val="10"/>
      <name val="Helv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224">
    <xf numFmtId="0" fontId="0" fillId="0" borderId="0"/>
    <xf numFmtId="0" fontId="10" fillId="0" borderId="0"/>
    <xf numFmtId="1" fontId="14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7" borderId="0" applyNumberFormat="0" applyBorder="0" applyAlignment="0" applyProtection="0"/>
    <xf numFmtId="0" fontId="15" fillId="5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7" borderId="0" applyNumberFormat="0" applyBorder="0" applyAlignment="0" applyProtection="0"/>
    <xf numFmtId="0" fontId="16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5" applyNumberFormat="0" applyAlignment="0" applyProtection="0"/>
    <xf numFmtId="0" fontId="18" fillId="17" borderId="5" applyNumberFormat="0" applyAlignment="0" applyProtection="0"/>
    <xf numFmtId="0" fontId="19" fillId="18" borderId="6" applyNumberFormat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0">
      <alignment horizontal="center"/>
    </xf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>
      <alignment horizontal="center"/>
    </xf>
    <xf numFmtId="0" fontId="23" fillId="0" borderId="0">
      <alignment horizontal="center" textRotation="90"/>
    </xf>
    <xf numFmtId="0" fontId="28" fillId="8" borderId="5" applyNumberFormat="0" applyAlignment="0" applyProtection="0"/>
    <xf numFmtId="0" fontId="28" fillId="8" borderId="5" applyNumberFormat="0" applyAlignment="0" applyProtection="0"/>
    <xf numFmtId="0" fontId="29" fillId="0" borderId="10" applyNumberFormat="0" applyFill="0" applyAlignment="0" applyProtection="0"/>
    <xf numFmtId="0" fontId="30" fillId="0" borderId="0" applyNumberFormat="0">
      <alignment horizontal="right"/>
    </xf>
    <xf numFmtId="0" fontId="31" fillId="8" borderId="0" applyNumberFormat="0" applyBorder="0" applyAlignment="0" applyProtection="0"/>
    <xf numFmtId="0" fontId="32" fillId="0" borderId="0"/>
    <xf numFmtId="0" fontId="33" fillId="5" borderId="11" applyNumberFormat="0" applyFont="0" applyAlignment="0" applyProtection="0"/>
    <xf numFmtId="0" fontId="33" fillId="5" borderId="11" applyNumberFormat="0" applyFont="0" applyAlignment="0" applyProtection="0"/>
    <xf numFmtId="0" fontId="34" fillId="17" borderId="12" applyNumberFormat="0" applyAlignment="0" applyProtection="0"/>
    <xf numFmtId="0" fontId="34" fillId="17" borderId="12" applyNumberFormat="0" applyAlignment="0" applyProtection="0"/>
    <xf numFmtId="0" fontId="35" fillId="0" borderId="0"/>
    <xf numFmtId="165" fontId="35" fillId="0" borderId="0"/>
    <xf numFmtId="0" fontId="3" fillId="0" borderId="0">
      <alignment horizontal="center" vertical="top"/>
    </xf>
    <xf numFmtId="0" fontId="36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3" fillId="0" borderId="0"/>
    <xf numFmtId="0" fontId="39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40" fillId="0" borderId="0"/>
    <xf numFmtId="0" fontId="41" fillId="0" borderId="0"/>
    <xf numFmtId="0" fontId="33" fillId="0" borderId="0"/>
    <xf numFmtId="0" fontId="42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40" fillId="0" borderId="0"/>
    <xf numFmtId="0" fontId="33" fillId="0" borderId="0"/>
    <xf numFmtId="0" fontId="43" fillId="0" borderId="0"/>
    <xf numFmtId="0" fontId="33" fillId="0" borderId="0"/>
    <xf numFmtId="0" fontId="43" fillId="0" borderId="0"/>
    <xf numFmtId="0" fontId="2" fillId="0" borderId="0"/>
    <xf numFmtId="0" fontId="44" fillId="0" borderId="0"/>
    <xf numFmtId="0" fontId="10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0" fillId="0" borderId="0"/>
    <xf numFmtId="0" fontId="4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2" fillId="0" borderId="0"/>
    <xf numFmtId="0" fontId="41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1" fillId="0" borderId="0"/>
    <xf numFmtId="0" fontId="41" fillId="0" borderId="0"/>
    <xf numFmtId="0" fontId="1" fillId="0" borderId="0"/>
    <xf numFmtId="0" fontId="39" fillId="0" borderId="0">
      <alignment horizontal="left"/>
    </xf>
    <xf numFmtId="0" fontId="40" fillId="0" borderId="0"/>
    <xf numFmtId="0" fontId="40" fillId="0" borderId="0"/>
    <xf numFmtId="0" fontId="43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0" fillId="0" borderId="0"/>
    <xf numFmtId="9" fontId="3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6" fillId="0" borderId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4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" fontId="14" fillId="0" borderId="0"/>
  </cellStyleXfs>
  <cellXfs count="7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/>
    <xf numFmtId="0" fontId="5" fillId="0" borderId="0" xfId="0" applyFont="1" applyFill="1" applyBorder="1" applyAlignment="1">
      <alignment horizontal="center" vertical="center"/>
    </xf>
    <xf numFmtId="0" fontId="4" fillId="2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 wrapText="1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6" fillId="0" borderId="3" xfId="0" applyNumberFormat="1" applyFont="1" applyFill="1" applyBorder="1" applyAlignment="1">
      <alignment horizontal="center" vertical="center" wrapText="1" shrinkToFi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4" fontId="5" fillId="0" borderId="3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vertical="center" wrapText="1" shrinkToFi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4" fontId="9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vertical="center" wrapText="1"/>
    </xf>
    <xf numFmtId="4" fontId="3" fillId="0" borderId="3" xfId="0" applyNumberFormat="1" applyFont="1" applyFill="1" applyBorder="1" applyAlignment="1">
      <alignment vertical="center" wrapText="1"/>
    </xf>
    <xf numFmtId="0" fontId="8" fillId="0" borderId="3" xfId="0" applyFont="1" applyBorder="1"/>
    <xf numFmtId="4" fontId="9" fillId="2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vertical="center"/>
    </xf>
    <xf numFmtId="1" fontId="9" fillId="0" borderId="3" xfId="0" applyNumberFormat="1" applyFont="1" applyBorder="1" applyAlignment="1">
      <alignment horizontal="center"/>
    </xf>
    <xf numFmtId="0" fontId="8" fillId="2" borderId="3" xfId="0" applyFont="1" applyFill="1" applyBorder="1" applyAlignment="1">
      <alignment wrapText="1"/>
    </xf>
    <xf numFmtId="4" fontId="5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vertical="center" wrapText="1"/>
    </xf>
    <xf numFmtId="0" fontId="8" fillId="2" borderId="3" xfId="0" applyFont="1" applyFill="1" applyBorder="1"/>
    <xf numFmtId="0" fontId="7" fillId="0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7" fillId="0" borderId="3" xfId="1" applyNumberFormat="1" applyFont="1" applyBorder="1" applyAlignment="1">
      <alignment horizontal="left" vertical="top" wrapText="1"/>
    </xf>
    <xf numFmtId="0" fontId="7" fillId="2" borderId="3" xfId="0" applyFont="1" applyFill="1" applyBorder="1" applyAlignment="1">
      <alignment wrapTex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" fontId="5" fillId="2" borderId="3" xfId="0" applyNumberFormat="1" applyFont="1" applyFill="1" applyBorder="1" applyAlignment="1">
      <alignment horizontal="center" vertical="center" wrapText="1" shrinkToFit="1"/>
    </xf>
    <xf numFmtId="4" fontId="7" fillId="2" borderId="3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0" fontId="7" fillId="2" borderId="3" xfId="0" applyFont="1" applyFill="1" applyBorder="1"/>
    <xf numFmtId="49" fontId="5" fillId="2" borderId="3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 wrapText="1"/>
    </xf>
    <xf numFmtId="4" fontId="3" fillId="2" borderId="3" xfId="0" applyNumberFormat="1" applyFont="1" applyFill="1" applyBorder="1" applyAlignment="1">
      <alignment vertical="center" wrapText="1" shrinkToFit="1"/>
    </xf>
    <xf numFmtId="49" fontId="3" fillId="0" borderId="3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/>
    <xf numFmtId="3" fontId="3" fillId="0" borderId="3" xfId="0" applyNumberFormat="1" applyFont="1" applyFill="1" applyBorder="1" applyAlignment="1">
      <alignment vertical="center" wrapText="1"/>
    </xf>
    <xf numFmtId="3" fontId="11" fillId="0" borderId="0" xfId="0" applyNumberFormat="1" applyFont="1"/>
    <xf numFmtId="0" fontId="12" fillId="0" borderId="0" xfId="0" applyFont="1" applyFill="1" applyBorder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/>
    <xf numFmtId="164" fontId="12" fillId="0" borderId="0" xfId="0" applyNumberFormat="1" applyFont="1" applyFill="1"/>
    <xf numFmtId="0" fontId="12" fillId="0" borderId="0" xfId="0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/>
    <xf numFmtId="0" fontId="13" fillId="0" borderId="0" xfId="0" applyFont="1" applyFill="1"/>
    <xf numFmtId="4" fontId="12" fillId="0" borderId="0" xfId="0" applyNumberFormat="1" applyFont="1" applyFill="1"/>
    <xf numFmtId="0" fontId="13" fillId="0" borderId="0" xfId="0" applyFont="1" applyFill="1" applyAlignment="1"/>
    <xf numFmtId="0" fontId="12" fillId="0" borderId="0" xfId="0" applyFont="1" applyFill="1" applyBorder="1"/>
    <xf numFmtId="4" fontId="5" fillId="0" borderId="0" xfId="0" applyNumberFormat="1" applyFont="1" applyFill="1"/>
    <xf numFmtId="4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/>
  </cellXfs>
  <cellStyles count="224">
    <cellStyle name="??????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alculation 2" xfId="29"/>
    <cellStyle name="Check Cell" xfId="30"/>
    <cellStyle name="Excel Built-in Normal" xfId="31"/>
    <cellStyle name="Explanatory Text" xfId="32"/>
    <cellStyle name="Good" xfId="33"/>
    <cellStyle name="Heading" xfId="34"/>
    <cellStyle name="Heading 1" xfId="35"/>
    <cellStyle name="Heading 2" xfId="36"/>
    <cellStyle name="Heading 3" xfId="37"/>
    <cellStyle name="Heading 4" xfId="38"/>
    <cellStyle name="Heading_Лист12" xfId="39"/>
    <cellStyle name="Heading1" xfId="40"/>
    <cellStyle name="Input" xfId="41"/>
    <cellStyle name="Input 2" xfId="42"/>
    <cellStyle name="Linked Cell" xfId="43"/>
    <cellStyle name="MS_Hebrew" xfId="44"/>
    <cellStyle name="Neutral" xfId="45"/>
    <cellStyle name="Normal_PRICE_LIST" xfId="46"/>
    <cellStyle name="Note" xfId="47"/>
    <cellStyle name="Note 2" xfId="48"/>
    <cellStyle name="Output" xfId="49"/>
    <cellStyle name="Output 2" xfId="50"/>
    <cellStyle name="Result" xfId="51"/>
    <cellStyle name="Result2" xfId="52"/>
    <cellStyle name="Times new roman" xfId="53"/>
    <cellStyle name="Title" xfId="54"/>
    <cellStyle name="Total" xfId="55"/>
    <cellStyle name="Total 2" xfId="56"/>
    <cellStyle name="Warning Text" xfId="57"/>
    <cellStyle name="Гиперссылка 2" xfId="58"/>
    <cellStyle name="КАНДАГАЧ тел3-33-96" xfId="59"/>
    <cellStyle name="Обычный" xfId="0" builtinId="0"/>
    <cellStyle name="Обычный 10" xfId="60"/>
    <cellStyle name="Обычный 10 2 2" xfId="61"/>
    <cellStyle name="Обычный 11" xfId="62"/>
    <cellStyle name="Обычный 11 2" xfId="63"/>
    <cellStyle name="Обычный 11 3" xfId="64"/>
    <cellStyle name="Обычный 11 4" xfId="65"/>
    <cellStyle name="Обычный 11 5" xfId="66"/>
    <cellStyle name="Обычный 11 6" xfId="67"/>
    <cellStyle name="Обычный 11_Лист2" xfId="68"/>
    <cellStyle name="Обычный 12" xfId="69"/>
    <cellStyle name="Обычный 12 2" xfId="70"/>
    <cellStyle name="Обычный 12 3" xfId="71"/>
    <cellStyle name="Обычный 12 4" xfId="72"/>
    <cellStyle name="Обычный 12 5" xfId="73"/>
    <cellStyle name="Обычный 12 6" xfId="74"/>
    <cellStyle name="Обычный 12_Лист2" xfId="75"/>
    <cellStyle name="Обычный 13" xfId="76"/>
    <cellStyle name="Обычный 14" xfId="77"/>
    <cellStyle name="Обычный 14 2 2" xfId="78"/>
    <cellStyle name="Обычный 15" xfId="79"/>
    <cellStyle name="Обычный 16" xfId="80"/>
    <cellStyle name="Обычный 16 2" xfId="81"/>
    <cellStyle name="Обычный 17" xfId="82"/>
    <cellStyle name="Обычный 18" xfId="83"/>
    <cellStyle name="Обычный 19" xfId="84"/>
    <cellStyle name="Обычный 2" xfId="85"/>
    <cellStyle name="Обычный 2 10" xfId="86"/>
    <cellStyle name="Обычный 2 2" xfId="87"/>
    <cellStyle name="Обычный 2 2 2" xfId="88"/>
    <cellStyle name="Обычный 2 2 2 2" xfId="89"/>
    <cellStyle name="Обычный 2 3" xfId="90"/>
    <cellStyle name="Обычный 2 4" xfId="91"/>
    <cellStyle name="Обычный 2 5" xfId="92"/>
    <cellStyle name="Обычный 2 6" xfId="93"/>
    <cellStyle name="Обычный 2 6 4" xfId="94"/>
    <cellStyle name="Обычный 2 7" xfId="95"/>
    <cellStyle name="Обычный 2 7 2" xfId="96"/>
    <cellStyle name="Обычный 2 7 3" xfId="97"/>
    <cellStyle name="Обычный 2 7 4" xfId="98"/>
    <cellStyle name="Обычный 2 7 5" xfId="99"/>
    <cellStyle name="Обычный 2 7 6" xfId="100"/>
    <cellStyle name="Обычный 2 7_Лист2" xfId="101"/>
    <cellStyle name="Обычный 2 8" xfId="102"/>
    <cellStyle name="Обычный 2 9" xfId="103"/>
    <cellStyle name="Обычный 2_Лист11" xfId="104"/>
    <cellStyle name="Обычный 20" xfId="105"/>
    <cellStyle name="Обычный 21" xfId="106"/>
    <cellStyle name="Обычный 22" xfId="107"/>
    <cellStyle name="Обычный 23" xfId="108"/>
    <cellStyle name="Обычный 24" xfId="109"/>
    <cellStyle name="Обычный 25" xfId="110"/>
    <cellStyle name="Обычный 26" xfId="111"/>
    <cellStyle name="Обычный 27" xfId="112"/>
    <cellStyle name="Обычный 28" xfId="113"/>
    <cellStyle name="Обычный 29" xfId="114"/>
    <cellStyle name="Обычный 3" xfId="115"/>
    <cellStyle name="Обычный 3 2" xfId="116"/>
    <cellStyle name="Обычный 3 2 2" xfId="117"/>
    <cellStyle name="Обычный 3 2 2 2" xfId="118"/>
    <cellStyle name="Обычный 3 2 2 3" xfId="119"/>
    <cellStyle name="Обычный 3 2 2 4" xfId="120"/>
    <cellStyle name="Обычный 3 2 2 5" xfId="121"/>
    <cellStyle name="Обычный 3 2 2 6" xfId="122"/>
    <cellStyle name="Обычный 3 2 2_Лист2" xfId="123"/>
    <cellStyle name="Обычный 3 2_Лист12" xfId="124"/>
    <cellStyle name="Обычный 3 3" xfId="125"/>
    <cellStyle name="Обычный 3 4" xfId="126"/>
    <cellStyle name="Обычный 3 5" xfId="127"/>
    <cellStyle name="Обычный 3 6" xfId="128"/>
    <cellStyle name="Обычный 3 7" xfId="129"/>
    <cellStyle name="Обычный 3 8" xfId="130"/>
    <cellStyle name="Обычный 3 9" xfId="131"/>
    <cellStyle name="Обычный 3_Лист11" xfId="132"/>
    <cellStyle name="Обычный 30" xfId="133"/>
    <cellStyle name="Обычный 31" xfId="134"/>
    <cellStyle name="Обычный 32" xfId="135"/>
    <cellStyle name="Обычный 33" xfId="136"/>
    <cellStyle name="Обычный 34" xfId="137"/>
    <cellStyle name="Обычный 35" xfId="138"/>
    <cellStyle name="Обычный 36" xfId="139"/>
    <cellStyle name="Обычный 37" xfId="140"/>
    <cellStyle name="Обычный 4" xfId="141"/>
    <cellStyle name="Обычный 4 2" xfId="142"/>
    <cellStyle name="Обычный 4 3" xfId="143"/>
    <cellStyle name="Обычный 4 4" xfId="144"/>
    <cellStyle name="Обычный 5" xfId="145"/>
    <cellStyle name="Обычный 6" xfId="146"/>
    <cellStyle name="Обычный 6 2" xfId="147"/>
    <cellStyle name="Обычный 6 3" xfId="148"/>
    <cellStyle name="Обычный 6 4" xfId="149"/>
    <cellStyle name="Обычный 6 5" xfId="150"/>
    <cellStyle name="Обычный 6 6" xfId="151"/>
    <cellStyle name="Обычный 6_Лист2" xfId="152"/>
    <cellStyle name="Обычный 7" xfId="153"/>
    <cellStyle name="Обычный 8" xfId="154"/>
    <cellStyle name="Обычный 8 2" xfId="155"/>
    <cellStyle name="Обычный 8 2 2" xfId="156"/>
    <cellStyle name="Обычный 8 2 3" xfId="157"/>
    <cellStyle name="Обычный 8 2 4" xfId="158"/>
    <cellStyle name="Обычный 8 2 5" xfId="159"/>
    <cellStyle name="Обычный 8 2 6" xfId="160"/>
    <cellStyle name="Обычный 8 2_Лист2" xfId="161"/>
    <cellStyle name="Обычный 8 3" xfId="162"/>
    <cellStyle name="Обычный 8 4" xfId="163"/>
    <cellStyle name="Обычный 8 5" xfId="164"/>
    <cellStyle name="Обычный 8 6" xfId="165"/>
    <cellStyle name="Обычный 8 7" xfId="166"/>
    <cellStyle name="Обычный 8_Лист12" xfId="167"/>
    <cellStyle name="Обычный 9" xfId="168"/>
    <cellStyle name="Обычный_5.15. обучение" xfId="1"/>
    <cellStyle name="Процентный 2" xfId="169"/>
    <cellStyle name="Процентный 2 2" xfId="170"/>
    <cellStyle name="Процентный 2 2 2" xfId="171"/>
    <cellStyle name="Процентный 2 3" xfId="172"/>
    <cellStyle name="Процентный 2 4" xfId="173"/>
    <cellStyle name="Процентный 3" xfId="174"/>
    <cellStyle name="Стиль 1" xfId="175"/>
    <cellStyle name="Финансовый [0] 2" xfId="176"/>
    <cellStyle name="Финансовый 10" xfId="177"/>
    <cellStyle name="Финансовый 10 3" xfId="178"/>
    <cellStyle name="Финансовый 11" xfId="179"/>
    <cellStyle name="Финансовый 12" xfId="180"/>
    <cellStyle name="Финансовый 13" xfId="181"/>
    <cellStyle name="Финансовый 14" xfId="182"/>
    <cellStyle name="Финансовый 15" xfId="183"/>
    <cellStyle name="Финансовый 16" xfId="184"/>
    <cellStyle name="Финансовый 17" xfId="185"/>
    <cellStyle name="Финансовый 18" xfId="186"/>
    <cellStyle name="Финансовый 19" xfId="187"/>
    <cellStyle name="Финансовый 2" xfId="188"/>
    <cellStyle name="Финансовый 2 2" xfId="189"/>
    <cellStyle name="Финансовый 2 3" xfId="190"/>
    <cellStyle name="Финансовый 20" xfId="191"/>
    <cellStyle name="Финансовый 21" xfId="192"/>
    <cellStyle name="Финансовый 22" xfId="193"/>
    <cellStyle name="Финансовый 23" xfId="194"/>
    <cellStyle name="Финансовый 24" xfId="195"/>
    <cellStyle name="Финансовый 25" xfId="196"/>
    <cellStyle name="Финансовый 26" xfId="197"/>
    <cellStyle name="Финансовый 27" xfId="198"/>
    <cellStyle name="Финансовый 28" xfId="199"/>
    <cellStyle name="Финансовый 29" xfId="200"/>
    <cellStyle name="Финансовый 3" xfId="201"/>
    <cellStyle name="Финансовый 3 2" xfId="202"/>
    <cellStyle name="Финансовый 3 3" xfId="203"/>
    <cellStyle name="Финансовый 30" xfId="204"/>
    <cellStyle name="Финансовый 31" xfId="205"/>
    <cellStyle name="Финансовый 32" xfId="206"/>
    <cellStyle name="Финансовый 33" xfId="207"/>
    <cellStyle name="Финансовый 34" xfId="208"/>
    <cellStyle name="Финансовый 35" xfId="209"/>
    <cellStyle name="Финансовый 36" xfId="210"/>
    <cellStyle name="Финансовый 37" xfId="211"/>
    <cellStyle name="Финансовый 38" xfId="212"/>
    <cellStyle name="Финансовый 39" xfId="213"/>
    <cellStyle name="Финансовый 4" xfId="214"/>
    <cellStyle name="Финансовый 40" xfId="215"/>
    <cellStyle name="Финансовый 41" xfId="216"/>
    <cellStyle name="Финансовый 42" xfId="217"/>
    <cellStyle name="Финансовый 5" xfId="218"/>
    <cellStyle name="Финансовый 6" xfId="219"/>
    <cellStyle name="Финансовый 7" xfId="220"/>
    <cellStyle name="Финансовый 8" xfId="221"/>
    <cellStyle name="Финансовый 9" xfId="222"/>
    <cellStyle name="מחירון" xfId="22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90;&#1072;&#1088;&#1080;&#1092;&#1085;&#1099;&#1081;%20&#1089;&#1084;&#1077;&#1090;&#1099;%202025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Отчет производство"/>
      <sheetName val="отчет снабжение"/>
      <sheetName val="оплата труда "/>
      <sheetName val="прочие затраты"/>
      <sheetName val="расходы периода"/>
      <sheetName val="7. прочие расходы"/>
      <sheetName val="амортизация"/>
      <sheetName val="Коэф.расп.25 факт"/>
      <sheetName val="ТЭП 25 факт"/>
      <sheetName val="Вода стоки 25 факт"/>
      <sheetName val="прочие"/>
      <sheetName val="Охр.труда 25 факт"/>
      <sheetName val="Хим.реаг. 25 факт"/>
      <sheetName val="канцт"/>
      <sheetName val="медикаменты"/>
      <sheetName val="Топливо 25 факт"/>
      <sheetName val="Электроэнергия 25 факт"/>
      <sheetName val="Мат.рем.25 нов"/>
      <sheetName val="ГСМ 25 нов."/>
      <sheetName val="Налоги свод"/>
      <sheetName val="ННИ 25 нов"/>
      <sheetName val="Зем.нал 25 нов"/>
      <sheetName val="Тр.налог 25-32 нов"/>
      <sheetName val="Лист2"/>
      <sheetName val="Лист3"/>
    </sheetNames>
    <sheetDataSet>
      <sheetData sheetId="0"/>
      <sheetData sheetId="1"/>
      <sheetData sheetId="2">
        <row r="28">
          <cell r="E28">
            <v>1139436.1071216746</v>
          </cell>
        </row>
      </sheetData>
      <sheetData sheetId="3">
        <row r="7">
          <cell r="E7">
            <v>289200</v>
          </cell>
        </row>
        <row r="11">
          <cell r="E11">
            <v>16341.183802850506</v>
          </cell>
        </row>
        <row r="12">
          <cell r="E12">
            <v>12250.105317395</v>
          </cell>
        </row>
        <row r="13">
          <cell r="E13">
            <v>7798.3340638435911</v>
          </cell>
        </row>
        <row r="14">
          <cell r="E14">
            <v>3171.6608194440923</v>
          </cell>
        </row>
        <row r="15">
          <cell r="E15">
            <v>4317.9047196133915</v>
          </cell>
        </row>
        <row r="16">
          <cell r="E16">
            <v>290400</v>
          </cell>
        </row>
        <row r="20">
          <cell r="E20">
            <v>16408.989544771044</v>
          </cell>
        </row>
        <row r="21">
          <cell r="E21">
            <v>12300.935629915311</v>
          </cell>
        </row>
        <row r="22">
          <cell r="E22">
            <v>7830.6922964736477</v>
          </cell>
        </row>
        <row r="23">
          <cell r="E23">
            <v>4335.8213367072231</v>
          </cell>
        </row>
        <row r="24">
          <cell r="E24">
            <v>83233.899999999994</v>
          </cell>
        </row>
        <row r="28">
          <cell r="E28">
            <v>4703.113618700133</v>
          </cell>
        </row>
        <row r="29">
          <cell r="E29">
            <v>3525.6709577369415</v>
          </cell>
        </row>
        <row r="30">
          <cell r="E30">
            <v>2244.4182490890421</v>
          </cell>
        </row>
        <row r="31">
          <cell r="E31">
            <v>1242.724929605218</v>
          </cell>
        </row>
      </sheetData>
      <sheetData sheetId="4">
        <row r="10">
          <cell r="E10">
            <v>684.78</v>
          </cell>
        </row>
        <row r="11">
          <cell r="E11">
            <v>1846.2739999999999</v>
          </cell>
        </row>
        <row r="13">
          <cell r="E13">
            <v>1988.13</v>
          </cell>
        </row>
        <row r="14">
          <cell r="E14">
            <v>49.29</v>
          </cell>
        </row>
        <row r="15">
          <cell r="E15">
            <v>3065.52</v>
          </cell>
        </row>
        <row r="16">
          <cell r="E16">
            <v>3991.47</v>
          </cell>
        </row>
        <row r="17">
          <cell r="E17">
            <v>10018.953</v>
          </cell>
        </row>
        <row r="18">
          <cell r="E18">
            <v>2105.5662000000002</v>
          </cell>
        </row>
        <row r="19">
          <cell r="E19">
            <v>3824.9</v>
          </cell>
        </row>
        <row r="20">
          <cell r="E20">
            <v>453.6</v>
          </cell>
        </row>
        <row r="22">
          <cell r="E22">
            <v>942.03400000000011</v>
          </cell>
        </row>
        <row r="23">
          <cell r="E23">
            <v>488.02310999999992</v>
          </cell>
        </row>
        <row r="24">
          <cell r="E24">
            <v>1458</v>
          </cell>
        </row>
      </sheetData>
      <sheetData sheetId="5">
        <row r="8">
          <cell r="E8">
            <v>2494.12</v>
          </cell>
        </row>
        <row r="9">
          <cell r="E9">
            <v>3962.56</v>
          </cell>
        </row>
        <row r="10">
          <cell r="E10">
            <v>628.58000000000004</v>
          </cell>
        </row>
        <row r="11">
          <cell r="E11">
            <v>749.92</v>
          </cell>
        </row>
        <row r="12">
          <cell r="E12">
            <v>619.71</v>
          </cell>
        </row>
        <row r="13">
          <cell r="E13">
            <v>5674.5</v>
          </cell>
        </row>
        <row r="14">
          <cell r="E14">
            <v>1758.2</v>
          </cell>
        </row>
        <row r="15">
          <cell r="E15">
            <v>2095.6799999999998</v>
          </cell>
        </row>
        <row r="16">
          <cell r="E16">
            <v>935.13</v>
          </cell>
        </row>
        <row r="17">
          <cell r="E17">
            <v>303.35000000000002</v>
          </cell>
        </row>
        <row r="18">
          <cell r="E18">
            <v>186.1</v>
          </cell>
        </row>
        <row r="19">
          <cell r="E19">
            <v>72656.710200000001</v>
          </cell>
        </row>
        <row r="20">
          <cell r="E20">
            <v>513.44000000000005</v>
          </cell>
        </row>
        <row r="21">
          <cell r="E21">
            <v>181.94</v>
          </cell>
        </row>
        <row r="22">
          <cell r="E22">
            <v>335.16</v>
          </cell>
        </row>
        <row r="23">
          <cell r="E23">
            <v>232</v>
          </cell>
        </row>
        <row r="24">
          <cell r="E24">
            <v>384</v>
          </cell>
        </row>
        <row r="25">
          <cell r="E25">
            <v>5032.25</v>
          </cell>
        </row>
        <row r="26">
          <cell r="E26">
            <v>330.29</v>
          </cell>
        </row>
        <row r="27">
          <cell r="E27">
            <v>202.74</v>
          </cell>
        </row>
        <row r="28">
          <cell r="E28">
            <v>55.13</v>
          </cell>
        </row>
        <row r="29">
          <cell r="E29">
            <v>36.96</v>
          </cell>
        </row>
        <row r="30">
          <cell r="E30">
            <v>385.37</v>
          </cell>
        </row>
        <row r="31">
          <cell r="E31">
            <v>55.23</v>
          </cell>
        </row>
        <row r="32">
          <cell r="E32">
            <v>307.45</v>
          </cell>
        </row>
        <row r="33">
          <cell r="E33">
            <v>1008</v>
          </cell>
        </row>
      </sheetData>
      <sheetData sheetId="6">
        <row r="8">
          <cell r="E8">
            <v>363.42</v>
          </cell>
        </row>
        <row r="9">
          <cell r="G9">
            <v>4715.29</v>
          </cell>
        </row>
      </sheetData>
      <sheetData sheetId="7">
        <row r="20">
          <cell r="J20">
            <v>107492.55720370001</v>
          </cell>
        </row>
      </sheetData>
      <sheetData sheetId="8"/>
      <sheetData sheetId="9"/>
      <sheetData sheetId="10">
        <row r="86">
          <cell r="H86">
            <v>3911.6505500000003</v>
          </cell>
          <cell r="J86">
            <v>379813.51520279999</v>
          </cell>
        </row>
        <row r="87">
          <cell r="H87">
            <v>278.13575000000003</v>
          </cell>
          <cell r="J87">
            <v>15425.572992800002</v>
          </cell>
        </row>
      </sheetData>
      <sheetData sheetId="11"/>
      <sheetData sheetId="12"/>
      <sheetData sheetId="13">
        <row r="34">
          <cell r="J34">
            <v>31625467.713544004</v>
          </cell>
        </row>
      </sheetData>
      <sheetData sheetId="14"/>
      <sheetData sheetId="15"/>
      <sheetData sheetId="16">
        <row r="20">
          <cell r="F20">
            <v>99473.202999999994</v>
          </cell>
          <cell r="H20">
            <v>3052240353.1813498</v>
          </cell>
        </row>
      </sheetData>
      <sheetData sheetId="17">
        <row r="99">
          <cell r="H99">
            <v>15196.632000000001</v>
          </cell>
        </row>
        <row r="100">
          <cell r="J100">
            <v>311184.71745440003</v>
          </cell>
        </row>
      </sheetData>
      <sheetData sheetId="18">
        <row r="10">
          <cell r="O10">
            <v>82227.627553699989</v>
          </cell>
        </row>
      </sheetData>
      <sheetData sheetId="19">
        <row r="31">
          <cell r="J31">
            <v>5201.5824438000009</v>
          </cell>
        </row>
      </sheetData>
      <sheetData sheetId="20">
        <row r="16">
          <cell r="AN16">
            <v>14551.015976127415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zoomScale="80" zoomScaleNormal="80" workbookViewId="0">
      <selection activeCell="G6" sqref="G6"/>
    </sheetView>
  </sheetViews>
  <sheetFormatPr defaultRowHeight="18.75" x14ac:dyDescent="0.3"/>
  <cols>
    <col min="1" max="1" width="10.85546875" style="66" customWidth="1"/>
    <col min="2" max="2" width="97" style="67" customWidth="1"/>
    <col min="3" max="3" width="17.28515625" style="66" customWidth="1"/>
    <col min="4" max="4" width="25" style="66" customWidth="1"/>
    <col min="5" max="5" width="25.85546875" style="66" customWidth="1"/>
    <col min="6" max="6" width="20.5703125" style="66" customWidth="1"/>
    <col min="7" max="7" width="22" style="69" customWidth="1"/>
    <col min="8" max="8" width="61.28515625" style="3" customWidth="1"/>
    <col min="9" max="9" width="17.5703125" customWidth="1"/>
    <col min="10" max="10" width="27.42578125" customWidth="1"/>
    <col min="13" max="13" width="24" customWidth="1"/>
  </cols>
  <sheetData>
    <row r="1" spans="1:9" x14ac:dyDescent="0.25">
      <c r="A1" s="1"/>
      <c r="B1" s="2"/>
      <c r="C1" s="2"/>
      <c r="D1" s="2"/>
      <c r="E1" s="2"/>
      <c r="F1" s="2"/>
      <c r="G1" s="2"/>
    </row>
    <row r="2" spans="1:9" x14ac:dyDescent="0.25">
      <c r="A2" s="4" t="s">
        <v>0</v>
      </c>
      <c r="B2" s="4"/>
      <c r="C2" s="4"/>
      <c r="D2" s="4"/>
      <c r="E2" s="4"/>
      <c r="F2" s="4"/>
      <c r="G2" s="4"/>
      <c r="H2" s="5"/>
    </row>
    <row r="3" spans="1:9" x14ac:dyDescent="0.25">
      <c r="A3" s="6"/>
      <c r="B3" s="4"/>
      <c r="C3" s="4"/>
      <c r="D3" s="4"/>
      <c r="E3" s="4"/>
      <c r="F3" s="4"/>
      <c r="G3" s="7"/>
    </row>
    <row r="4" spans="1:9" ht="81.75" customHeight="1" x14ac:dyDescent="0.25">
      <c r="A4" s="8" t="s">
        <v>1</v>
      </c>
      <c r="B4" s="9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1" t="s">
        <v>8</v>
      </c>
    </row>
    <row r="5" spans="1:9" ht="19.5" customHeight="1" x14ac:dyDescent="0.25">
      <c r="A5" s="12">
        <v>1</v>
      </c>
      <c r="B5" s="13">
        <v>2</v>
      </c>
      <c r="C5" s="12">
        <v>3</v>
      </c>
      <c r="D5" s="12">
        <v>4</v>
      </c>
      <c r="E5" s="12">
        <v>5</v>
      </c>
      <c r="F5" s="12"/>
      <c r="G5" s="12">
        <v>7</v>
      </c>
      <c r="H5" s="14">
        <v>8</v>
      </c>
    </row>
    <row r="6" spans="1:9" ht="126.75" customHeight="1" x14ac:dyDescent="0.25">
      <c r="A6" s="8" t="s">
        <v>9</v>
      </c>
      <c r="B6" s="15" t="s">
        <v>10</v>
      </c>
      <c r="C6" s="8" t="s">
        <v>11</v>
      </c>
      <c r="D6" s="8">
        <f>D7+D31+D38+D39+D48</f>
        <v>4347002.1469999999</v>
      </c>
      <c r="E6" s="8">
        <f>E7+E31+E38+E39+E48</f>
        <v>4711187.0732671078</v>
      </c>
      <c r="F6" s="15">
        <f>E6-D6</f>
        <v>364184.92626710795</v>
      </c>
      <c r="G6" s="8">
        <f>E6/D6*100-100</f>
        <v>8.3778409568636505</v>
      </c>
      <c r="H6" s="16" t="s">
        <v>12</v>
      </c>
      <c r="I6">
        <f>E6/D6*100</f>
        <v>108.37784095686365</v>
      </c>
    </row>
    <row r="7" spans="1:9" ht="19.5" customHeight="1" x14ac:dyDescent="0.25">
      <c r="A7" s="17">
        <v>1</v>
      </c>
      <c r="B7" s="9" t="s">
        <v>13</v>
      </c>
      <c r="C7" s="8" t="s">
        <v>11</v>
      </c>
      <c r="D7" s="8">
        <f>D8+D15+D23+D26+D30</f>
        <v>3502884</v>
      </c>
      <c r="E7" s="8">
        <f>E8+E15+E23+E26+E30</f>
        <v>3824099.0406686934</v>
      </c>
      <c r="F7" s="15">
        <f t="shared" ref="F7:F71" si="0">E7-D7</f>
        <v>321215.04066869337</v>
      </c>
      <c r="G7" s="8">
        <f t="shared" ref="G7:G70" si="1">E7/D7*100-100</f>
        <v>9.1700164969406188</v>
      </c>
      <c r="H7" s="18"/>
      <c r="I7">
        <f t="shared" ref="I7:I70" si="2">E7/D7*100</f>
        <v>109.17001649694062</v>
      </c>
    </row>
    <row r="8" spans="1:9" ht="24.75" customHeight="1" x14ac:dyDescent="0.25">
      <c r="A8" s="19" t="s">
        <v>14</v>
      </c>
      <c r="B8" s="20" t="s">
        <v>15</v>
      </c>
      <c r="C8" s="19" t="s">
        <v>11</v>
      </c>
      <c r="D8" s="19">
        <f>D9+D12</f>
        <v>348108.3</v>
      </c>
      <c r="E8" s="21">
        <f>E9+E12</f>
        <v>395239.08819559996</v>
      </c>
      <c r="F8" s="15">
        <f t="shared" si="0"/>
        <v>47130.788195599976</v>
      </c>
      <c r="G8" s="8">
        <f t="shared" si="1"/>
        <v>13.539116474844178</v>
      </c>
      <c r="H8" s="22" t="s">
        <v>16</v>
      </c>
      <c r="I8">
        <f t="shared" si="2"/>
        <v>113.53911647484418</v>
      </c>
    </row>
    <row r="9" spans="1:9" ht="24.75" customHeight="1" x14ac:dyDescent="0.3">
      <c r="A9" s="8" t="s">
        <v>17</v>
      </c>
      <c r="B9" s="9" t="s">
        <v>18</v>
      </c>
      <c r="C9" s="8" t="s">
        <v>11</v>
      </c>
      <c r="D9" s="8">
        <v>331435</v>
      </c>
      <c r="E9" s="23">
        <f>'[1]Вода стоки 25 факт'!J86</f>
        <v>379813.51520279999</v>
      </c>
      <c r="F9" s="15">
        <f t="shared" si="0"/>
        <v>48378.515202799987</v>
      </c>
      <c r="G9" s="8">
        <f t="shared" si="1"/>
        <v>14.596682668637897</v>
      </c>
      <c r="H9" s="18"/>
      <c r="I9">
        <f t="shared" si="2"/>
        <v>114.5966826686379</v>
      </c>
    </row>
    <row r="10" spans="1:9" ht="24.75" customHeight="1" x14ac:dyDescent="0.25">
      <c r="A10" s="19" t="s">
        <v>19</v>
      </c>
      <c r="B10" s="20" t="s">
        <v>20</v>
      </c>
      <c r="C10" s="19" t="s">
        <v>21</v>
      </c>
      <c r="D10" s="19">
        <v>5324.3</v>
      </c>
      <c r="E10" s="19">
        <f>'[1]Вода стоки 25 факт'!H86</f>
        <v>3911.6505500000003</v>
      </c>
      <c r="F10" s="15">
        <f t="shared" si="0"/>
        <v>-1412.6494499999999</v>
      </c>
      <c r="G10" s="8">
        <f t="shared" si="1"/>
        <v>-26.532115958905393</v>
      </c>
      <c r="H10" s="24" t="s">
        <v>22</v>
      </c>
      <c r="I10">
        <f t="shared" si="2"/>
        <v>73.467884041094607</v>
      </c>
    </row>
    <row r="11" spans="1:9" ht="24.75" customHeight="1" x14ac:dyDescent="0.25">
      <c r="A11" s="19" t="s">
        <v>23</v>
      </c>
      <c r="B11" s="25" t="s">
        <v>24</v>
      </c>
      <c r="C11" s="19" t="s">
        <v>25</v>
      </c>
      <c r="D11" s="19">
        <f>D9/D10</f>
        <v>62.249497586537196</v>
      </c>
      <c r="E11" s="19">
        <f>E9/E10</f>
        <v>97.098017920542503</v>
      </c>
      <c r="F11" s="15">
        <f t="shared" si="0"/>
        <v>34.848520334005308</v>
      </c>
      <c r="G11" s="8">
        <f t="shared" si="1"/>
        <v>55.982010594639803</v>
      </c>
      <c r="H11" s="26" t="s">
        <v>26</v>
      </c>
      <c r="I11">
        <f t="shared" si="2"/>
        <v>155.9820105946398</v>
      </c>
    </row>
    <row r="12" spans="1:9" ht="24.75" customHeight="1" x14ac:dyDescent="0.25">
      <c r="A12" s="19" t="s">
        <v>27</v>
      </c>
      <c r="B12" s="9" t="s">
        <v>28</v>
      </c>
      <c r="C12" s="19" t="s">
        <v>29</v>
      </c>
      <c r="D12" s="8">
        <v>16673.3</v>
      </c>
      <c r="E12" s="8">
        <f>'[1]Вода стоки 25 факт'!J87</f>
        <v>15425.572992800002</v>
      </c>
      <c r="F12" s="15">
        <f t="shared" si="0"/>
        <v>-1247.7270071999974</v>
      </c>
      <c r="G12" s="8">
        <f t="shared" si="1"/>
        <v>-7.4833836565046994</v>
      </c>
      <c r="I12">
        <f t="shared" si="2"/>
        <v>92.516616343495301</v>
      </c>
    </row>
    <row r="13" spans="1:9" ht="24.75" customHeight="1" x14ac:dyDescent="0.25">
      <c r="A13" s="19" t="s">
        <v>30</v>
      </c>
      <c r="B13" s="20" t="s">
        <v>31</v>
      </c>
      <c r="C13" s="19" t="s">
        <v>21</v>
      </c>
      <c r="D13" s="19">
        <v>217.3</v>
      </c>
      <c r="E13" s="19">
        <f>'[1]Вода стоки 25 факт'!H87</f>
        <v>278.13575000000003</v>
      </c>
      <c r="F13" s="15">
        <f t="shared" si="0"/>
        <v>60.835750000000019</v>
      </c>
      <c r="G13" s="8">
        <f t="shared" si="1"/>
        <v>27.996203405430293</v>
      </c>
      <c r="H13" s="24" t="s">
        <v>32</v>
      </c>
      <c r="I13">
        <f t="shared" si="2"/>
        <v>127.99620340543029</v>
      </c>
    </row>
    <row r="14" spans="1:9" ht="24.75" customHeight="1" x14ac:dyDescent="0.25">
      <c r="A14" s="19" t="s">
        <v>33</v>
      </c>
      <c r="B14" s="25" t="s">
        <v>34</v>
      </c>
      <c r="C14" s="19" t="s">
        <v>25</v>
      </c>
      <c r="D14" s="19">
        <f>D12/D13</f>
        <v>76.729406350667276</v>
      </c>
      <c r="E14" s="19">
        <f>E12/E13</f>
        <v>55.460590710830949</v>
      </c>
      <c r="F14" s="15">
        <f t="shared" si="0"/>
        <v>-21.268815639836326</v>
      </c>
      <c r="G14" s="8">
        <f t="shared" si="1"/>
        <v>-27.719249569889797</v>
      </c>
      <c r="H14" s="26" t="s">
        <v>35</v>
      </c>
      <c r="I14">
        <f t="shared" si="2"/>
        <v>72.280750430110203</v>
      </c>
    </row>
    <row r="15" spans="1:9" ht="24.75" customHeight="1" x14ac:dyDescent="0.25">
      <c r="A15" s="8" t="s">
        <v>36</v>
      </c>
      <c r="B15" s="15" t="s">
        <v>37</v>
      </c>
      <c r="C15" s="8" t="s">
        <v>38</v>
      </c>
      <c r="D15" s="8">
        <f>D16+D20</f>
        <v>2906445</v>
      </c>
      <c r="E15" s="8">
        <f>E16+E20</f>
        <v>3052240.3531813496</v>
      </c>
      <c r="F15" s="15">
        <f t="shared" si="0"/>
        <v>145795.35318134958</v>
      </c>
      <c r="G15" s="8">
        <f t="shared" si="1"/>
        <v>5.0162777269602543</v>
      </c>
      <c r="H15" s="26"/>
      <c r="I15">
        <f t="shared" si="2"/>
        <v>105.01627772696025</v>
      </c>
    </row>
    <row r="16" spans="1:9" ht="24.75" customHeight="1" x14ac:dyDescent="0.25">
      <c r="A16" s="19" t="s">
        <v>39</v>
      </c>
      <c r="B16" s="25" t="s">
        <v>40</v>
      </c>
      <c r="C16" s="19" t="s">
        <v>38</v>
      </c>
      <c r="D16" s="19">
        <v>2906445</v>
      </c>
      <c r="E16" s="19">
        <f>'[1]Топливо 25 факт'!H20/1000</f>
        <v>3052240.3531813496</v>
      </c>
      <c r="F16" s="15">
        <f t="shared" si="0"/>
        <v>145795.35318134958</v>
      </c>
      <c r="G16" s="8">
        <f t="shared" si="1"/>
        <v>5.0162777269602543</v>
      </c>
      <c r="H16" s="26" t="s">
        <v>41</v>
      </c>
      <c r="I16">
        <f t="shared" si="2"/>
        <v>105.01627772696025</v>
      </c>
    </row>
    <row r="17" spans="1:9" ht="24.75" customHeight="1" x14ac:dyDescent="0.25">
      <c r="A17" s="19" t="s">
        <v>42</v>
      </c>
      <c r="B17" s="25" t="s">
        <v>43</v>
      </c>
      <c r="C17" s="19" t="s">
        <v>21</v>
      </c>
      <c r="D17" s="19">
        <v>99300.25</v>
      </c>
      <c r="E17" s="19">
        <f>'[1]Топливо 25 факт'!F20</f>
        <v>99473.202999999994</v>
      </c>
      <c r="F17" s="15">
        <f t="shared" si="0"/>
        <v>172.95299999999406</v>
      </c>
      <c r="G17" s="8">
        <f t="shared" si="1"/>
        <v>0.17417176693913916</v>
      </c>
      <c r="H17" s="26" t="s">
        <v>44</v>
      </c>
      <c r="I17">
        <f t="shared" si="2"/>
        <v>100.17417176693914</v>
      </c>
    </row>
    <row r="18" spans="1:9" ht="24.75" customHeight="1" x14ac:dyDescent="0.25">
      <c r="A18" s="19" t="s">
        <v>45</v>
      </c>
      <c r="B18" s="25" t="s">
        <v>46</v>
      </c>
      <c r="C18" s="19" t="s">
        <v>25</v>
      </c>
      <c r="D18" s="19">
        <f>D16/D17*1000</f>
        <v>29269.261658455041</v>
      </c>
      <c r="E18" s="19">
        <f>E16/E17*1000</f>
        <v>30684.046166497221</v>
      </c>
      <c r="F18" s="15">
        <f t="shared" si="0"/>
        <v>1414.7845080421794</v>
      </c>
      <c r="G18" s="8">
        <f t="shared" si="1"/>
        <v>4.8336870418919062</v>
      </c>
      <c r="H18" s="26" t="s">
        <v>41</v>
      </c>
      <c r="I18">
        <f t="shared" si="2"/>
        <v>104.83368704189191</v>
      </c>
    </row>
    <row r="19" spans="1:9" ht="24.75" hidden="1" customHeight="1" x14ac:dyDescent="0.25">
      <c r="A19" s="19"/>
      <c r="B19" s="20" t="s">
        <v>47</v>
      </c>
      <c r="C19" s="19"/>
      <c r="D19" s="19"/>
      <c r="E19" s="19"/>
      <c r="F19" s="15">
        <f t="shared" si="0"/>
        <v>0</v>
      </c>
      <c r="G19" s="8" t="e">
        <f t="shared" si="1"/>
        <v>#DIV/0!</v>
      </c>
      <c r="H19" s="26"/>
      <c r="I19" t="e">
        <f t="shared" si="2"/>
        <v>#DIV/0!</v>
      </c>
    </row>
    <row r="20" spans="1:9" ht="24.75" hidden="1" customHeight="1" x14ac:dyDescent="0.25">
      <c r="A20" s="19" t="s">
        <v>48</v>
      </c>
      <c r="B20" s="20" t="s">
        <v>40</v>
      </c>
      <c r="C20" s="19" t="s">
        <v>38</v>
      </c>
      <c r="D20" s="19">
        <v>0</v>
      </c>
      <c r="E20" s="19">
        <v>0</v>
      </c>
      <c r="F20" s="15">
        <f t="shared" si="0"/>
        <v>0</v>
      </c>
      <c r="G20" s="8" t="e">
        <f t="shared" si="1"/>
        <v>#DIV/0!</v>
      </c>
      <c r="H20" s="26"/>
      <c r="I20" t="e">
        <f t="shared" si="2"/>
        <v>#DIV/0!</v>
      </c>
    </row>
    <row r="21" spans="1:9" ht="24.75" hidden="1" customHeight="1" x14ac:dyDescent="0.25">
      <c r="A21" s="19" t="s">
        <v>49</v>
      </c>
      <c r="B21" s="20" t="s">
        <v>50</v>
      </c>
      <c r="C21" s="19" t="s">
        <v>51</v>
      </c>
      <c r="D21" s="19">
        <v>0</v>
      </c>
      <c r="E21" s="19">
        <v>0</v>
      </c>
      <c r="F21" s="15">
        <f t="shared" si="0"/>
        <v>0</v>
      </c>
      <c r="G21" s="8" t="e">
        <f t="shared" si="1"/>
        <v>#DIV/0!</v>
      </c>
      <c r="H21" s="26"/>
      <c r="I21" t="e">
        <f t="shared" si="2"/>
        <v>#DIV/0!</v>
      </c>
    </row>
    <row r="22" spans="1:9" ht="24.75" hidden="1" customHeight="1" x14ac:dyDescent="0.25">
      <c r="A22" s="19" t="s">
        <v>52</v>
      </c>
      <c r="B22" s="20" t="s">
        <v>53</v>
      </c>
      <c r="C22" s="19" t="s">
        <v>25</v>
      </c>
      <c r="D22" s="19">
        <v>0</v>
      </c>
      <c r="E22" s="19">
        <v>0</v>
      </c>
      <c r="F22" s="15">
        <f t="shared" si="0"/>
        <v>0</v>
      </c>
      <c r="G22" s="8" t="e">
        <f t="shared" si="1"/>
        <v>#DIV/0!</v>
      </c>
      <c r="H22" s="26"/>
      <c r="I22" t="e">
        <f t="shared" si="2"/>
        <v>#DIV/0!</v>
      </c>
    </row>
    <row r="23" spans="1:9" ht="24.75" customHeight="1" x14ac:dyDescent="0.3">
      <c r="A23" s="8" t="s">
        <v>54</v>
      </c>
      <c r="B23" s="9" t="s">
        <v>55</v>
      </c>
      <c r="C23" s="8" t="s">
        <v>38</v>
      </c>
      <c r="D23" s="8">
        <f>213823.2</f>
        <v>213823.2</v>
      </c>
      <c r="E23" s="27">
        <f>'[1]Электроэнергия 25 факт'!J100</f>
        <v>311184.71745440003</v>
      </c>
      <c r="F23" s="15">
        <f t="shared" si="0"/>
        <v>97361.517454400018</v>
      </c>
      <c r="G23" s="8">
        <f t="shared" si="1"/>
        <v>45.533654652254768</v>
      </c>
      <c r="H23" s="26"/>
      <c r="I23">
        <f t="shared" si="2"/>
        <v>145.53365465225477</v>
      </c>
    </row>
    <row r="24" spans="1:9" ht="57.75" customHeight="1" x14ac:dyDescent="0.25">
      <c r="A24" s="19" t="s">
        <v>56</v>
      </c>
      <c r="B24" s="20" t="s">
        <v>57</v>
      </c>
      <c r="C24" s="19" t="s">
        <v>58</v>
      </c>
      <c r="D24" s="19">
        <v>13038</v>
      </c>
      <c r="E24" s="19">
        <f>'[1]Электроэнергия 25 факт'!H99</f>
        <v>15196.632000000001</v>
      </c>
      <c r="F24" s="15">
        <f t="shared" si="0"/>
        <v>2158.6320000000014</v>
      </c>
      <c r="G24" s="8">
        <f t="shared" si="1"/>
        <v>16.556465715600567</v>
      </c>
      <c r="H24" s="24" t="s">
        <v>59</v>
      </c>
      <c r="I24">
        <f t="shared" si="2"/>
        <v>116.55646571560057</v>
      </c>
    </row>
    <row r="25" spans="1:9" ht="24.75" customHeight="1" x14ac:dyDescent="0.25">
      <c r="A25" s="19" t="s">
        <v>60</v>
      </c>
      <c r="B25" s="20" t="s">
        <v>61</v>
      </c>
      <c r="C25" s="19" t="s">
        <v>25</v>
      </c>
      <c r="D25" s="19">
        <f>D23/D24</f>
        <v>16.400000000000002</v>
      </c>
      <c r="E25" s="19">
        <f>E23/E24</f>
        <v>20.477216099883183</v>
      </c>
      <c r="F25" s="15">
        <f t="shared" si="0"/>
        <v>4.0772160998831808</v>
      </c>
      <c r="G25" s="8">
        <f t="shared" si="1"/>
        <v>24.861073779775495</v>
      </c>
      <c r="H25" s="28" t="s">
        <v>62</v>
      </c>
      <c r="I25">
        <f t="shared" si="2"/>
        <v>124.8610737797755</v>
      </c>
    </row>
    <row r="26" spans="1:9" ht="24.75" customHeight="1" x14ac:dyDescent="0.25">
      <c r="A26" s="8" t="s">
        <v>63</v>
      </c>
      <c r="B26" s="15" t="s">
        <v>64</v>
      </c>
      <c r="C26" s="8" t="s">
        <v>38</v>
      </c>
      <c r="D26" s="8">
        <f>SUM(D27:D29)</f>
        <v>26309.8</v>
      </c>
      <c r="E26" s="8">
        <f>SUM(E27:E29)</f>
        <v>60233.299393544003</v>
      </c>
      <c r="F26" s="15">
        <f t="shared" si="0"/>
        <v>33923.499393544</v>
      </c>
      <c r="G26" s="8">
        <f t="shared" si="1"/>
        <v>128.93864413087138</v>
      </c>
      <c r="H26" s="26"/>
      <c r="I26">
        <f t="shared" si="2"/>
        <v>228.93864413087138</v>
      </c>
    </row>
    <row r="27" spans="1:9" ht="24.75" customHeight="1" x14ac:dyDescent="0.3">
      <c r="A27" s="19" t="s">
        <v>65</v>
      </c>
      <c r="B27" s="25" t="s">
        <v>66</v>
      </c>
      <c r="C27" s="19" t="s">
        <v>25</v>
      </c>
      <c r="D27" s="19">
        <v>14827.6</v>
      </c>
      <c r="E27" s="23">
        <f>'[1]Хим.реаг. 25 факт'!J34/1000</f>
        <v>31625.467713544003</v>
      </c>
      <c r="F27" s="15">
        <f t="shared" si="0"/>
        <v>16797.867713544001</v>
      </c>
      <c r="G27" s="8">
        <f t="shared" si="1"/>
        <v>113.28783966079476</v>
      </c>
      <c r="H27" s="22" t="s">
        <v>67</v>
      </c>
      <c r="I27">
        <f t="shared" si="2"/>
        <v>213.28783966079476</v>
      </c>
    </row>
    <row r="28" spans="1:9" ht="24.75" customHeight="1" x14ac:dyDescent="0.3">
      <c r="A28" s="19" t="s">
        <v>68</v>
      </c>
      <c r="B28" s="25" t="s">
        <v>69</v>
      </c>
      <c r="C28" s="19" t="s">
        <v>25</v>
      </c>
      <c r="D28" s="19">
        <v>1126.9000000000001</v>
      </c>
      <c r="E28" s="29">
        <v>18945.59417</v>
      </c>
      <c r="F28" s="15">
        <f t="shared" si="0"/>
        <v>17818.694169999999</v>
      </c>
      <c r="G28" s="8">
        <f t="shared" si="1"/>
        <v>1581.2134324252372</v>
      </c>
      <c r="H28" s="30" t="s">
        <v>70</v>
      </c>
      <c r="I28">
        <f t="shared" si="2"/>
        <v>1681.2134324252372</v>
      </c>
    </row>
    <row r="29" spans="1:9" ht="24.75" customHeight="1" x14ac:dyDescent="0.25">
      <c r="A29" s="19" t="s">
        <v>71</v>
      </c>
      <c r="B29" s="25" t="s">
        <v>72</v>
      </c>
      <c r="C29" s="19" t="s">
        <v>25</v>
      </c>
      <c r="D29" s="19">
        <v>10355.299999999999</v>
      </c>
      <c r="E29" s="19">
        <v>9662.2375100000008</v>
      </c>
      <c r="F29" s="15">
        <f t="shared" si="0"/>
        <v>-693.06248999999843</v>
      </c>
      <c r="G29" s="8">
        <f t="shared" si="1"/>
        <v>-6.6928286964163135</v>
      </c>
      <c r="H29" s="30" t="s">
        <v>73</v>
      </c>
      <c r="I29">
        <f t="shared" si="2"/>
        <v>93.307171303583686</v>
      </c>
    </row>
    <row r="30" spans="1:9" ht="24.75" customHeight="1" x14ac:dyDescent="0.3">
      <c r="A30" s="8" t="s">
        <v>74</v>
      </c>
      <c r="B30" s="15" t="s">
        <v>75</v>
      </c>
      <c r="C30" s="8" t="s">
        <v>38</v>
      </c>
      <c r="D30" s="8">
        <v>8197.7000000000007</v>
      </c>
      <c r="E30" s="27">
        <f>'[1]ГСМ 25 нов.'!J31</f>
        <v>5201.5824438000009</v>
      </c>
      <c r="F30" s="15">
        <f t="shared" si="0"/>
        <v>-2996.1175561999999</v>
      </c>
      <c r="G30" s="8">
        <f t="shared" si="1"/>
        <v>-36.548270322163532</v>
      </c>
      <c r="H30" s="22" t="s">
        <v>76</v>
      </c>
      <c r="I30">
        <f t="shared" si="2"/>
        <v>63.451729677836468</v>
      </c>
    </row>
    <row r="31" spans="1:9" ht="24.75" customHeight="1" x14ac:dyDescent="0.25">
      <c r="A31" s="17">
        <v>2</v>
      </c>
      <c r="B31" s="15" t="s">
        <v>77</v>
      </c>
      <c r="C31" s="8" t="s">
        <v>38</v>
      </c>
      <c r="D31" s="8">
        <f>D32+D33+D37</f>
        <v>344904.76539999997</v>
      </c>
      <c r="E31" s="31">
        <f>E32+E33+E37</f>
        <v>333079.18872314657</v>
      </c>
      <c r="F31" s="15">
        <f t="shared" si="0"/>
        <v>-11825.576676853409</v>
      </c>
      <c r="G31" s="8">
        <f t="shared" si="1"/>
        <v>-3.4286498370467058</v>
      </c>
      <c r="H31" s="26"/>
      <c r="I31">
        <f t="shared" si="2"/>
        <v>96.571350162953294</v>
      </c>
    </row>
    <row r="32" spans="1:9" ht="24.75" customHeight="1" x14ac:dyDescent="0.3">
      <c r="A32" s="19" t="s">
        <v>78</v>
      </c>
      <c r="B32" s="25" t="s">
        <v>79</v>
      </c>
      <c r="C32" s="19" t="s">
        <v>38</v>
      </c>
      <c r="D32" s="19">
        <v>292540.09999999998</v>
      </c>
      <c r="E32" s="23">
        <f>'[1]оплата труда '!E7</f>
        <v>289200</v>
      </c>
      <c r="F32" s="15">
        <f t="shared" si="0"/>
        <v>-3340.0999999999767</v>
      </c>
      <c r="G32" s="8">
        <f t="shared" si="1"/>
        <v>-1.1417580017235167</v>
      </c>
      <c r="H32" s="26"/>
      <c r="I32">
        <f t="shared" si="2"/>
        <v>98.858241998276483</v>
      </c>
    </row>
    <row r="33" spans="1:9" ht="24.75" customHeight="1" x14ac:dyDescent="0.25">
      <c r="A33" s="32" t="s">
        <v>80</v>
      </c>
      <c r="B33" s="25" t="s">
        <v>81</v>
      </c>
      <c r="C33" s="19" t="s">
        <v>38</v>
      </c>
      <c r="D33" s="19">
        <f>D34+D35+D36</f>
        <v>37737.665399999998</v>
      </c>
      <c r="E33" s="19">
        <f>E34+E35+E36</f>
        <v>36389.623184089098</v>
      </c>
      <c r="F33" s="15">
        <f t="shared" si="0"/>
        <v>-1348.0422159109003</v>
      </c>
      <c r="G33" s="8">
        <f t="shared" si="1"/>
        <v>-3.5721399339952313</v>
      </c>
      <c r="H33" s="26"/>
      <c r="I33">
        <f t="shared" si="2"/>
        <v>96.427860066004769</v>
      </c>
    </row>
    <row r="34" spans="1:9" ht="24.75" customHeight="1" x14ac:dyDescent="0.25">
      <c r="A34" s="32"/>
      <c r="B34" s="25" t="s">
        <v>82</v>
      </c>
      <c r="C34" s="19" t="s">
        <v>38</v>
      </c>
      <c r="D34" s="19">
        <f>D32*0.9*0.06</f>
        <v>15797.165399999998</v>
      </c>
      <c r="E34" s="19">
        <f>'[1]оплата труда '!E11</f>
        <v>16341.183802850506</v>
      </c>
      <c r="F34" s="15">
        <f t="shared" si="0"/>
        <v>544.01840285050821</v>
      </c>
      <c r="G34" s="8">
        <f t="shared" si="1"/>
        <v>3.4437722786045555</v>
      </c>
      <c r="H34" s="26"/>
      <c r="I34">
        <f t="shared" si="2"/>
        <v>103.44377227860456</v>
      </c>
    </row>
    <row r="35" spans="1:9" ht="24.75" customHeight="1" x14ac:dyDescent="0.25">
      <c r="A35" s="32"/>
      <c r="B35" s="25" t="s">
        <v>83</v>
      </c>
      <c r="C35" s="19" t="s">
        <v>38</v>
      </c>
      <c r="D35" s="19">
        <v>13164.3</v>
      </c>
      <c r="E35" s="19">
        <f>'[1]оплата труда '!E12</f>
        <v>12250.105317395</v>
      </c>
      <c r="F35" s="15">
        <f t="shared" si="0"/>
        <v>-914.19468260499889</v>
      </c>
      <c r="G35" s="8">
        <f t="shared" si="1"/>
        <v>-6.9444990056820188</v>
      </c>
      <c r="H35" s="22" t="s">
        <v>84</v>
      </c>
      <c r="I35">
        <f t="shared" si="2"/>
        <v>93.055500994317981</v>
      </c>
    </row>
    <row r="36" spans="1:9" ht="24.75" customHeight="1" x14ac:dyDescent="0.25">
      <c r="A36" s="32"/>
      <c r="B36" s="25" t="s">
        <v>85</v>
      </c>
      <c r="C36" s="19" t="s">
        <v>38</v>
      </c>
      <c r="D36" s="19">
        <v>8776.2000000000007</v>
      </c>
      <c r="E36" s="19">
        <f>'[1]оплата труда '!E13</f>
        <v>7798.3340638435911</v>
      </c>
      <c r="F36" s="15">
        <f t="shared" si="0"/>
        <v>-977.86593615640959</v>
      </c>
      <c r="G36" s="8">
        <f t="shared" si="1"/>
        <v>-11.14224762603871</v>
      </c>
      <c r="H36" s="22" t="s">
        <v>84</v>
      </c>
      <c r="I36">
        <f t="shared" si="2"/>
        <v>88.85775237396129</v>
      </c>
    </row>
    <row r="37" spans="1:9" ht="24.75" customHeight="1" x14ac:dyDescent="0.25">
      <c r="A37" s="32" t="s">
        <v>86</v>
      </c>
      <c r="B37" s="25" t="s">
        <v>87</v>
      </c>
      <c r="C37" s="19" t="s">
        <v>38</v>
      </c>
      <c r="D37" s="19">
        <v>14627</v>
      </c>
      <c r="E37" s="33">
        <f>'[1]оплата труда '!E14+'[1]оплата труда '!E15</f>
        <v>7489.5655390574839</v>
      </c>
      <c r="F37" s="15">
        <f t="shared" si="0"/>
        <v>-7137.4344609425161</v>
      </c>
      <c r="G37" s="8">
        <f t="shared" si="1"/>
        <v>-48.796297675138554</v>
      </c>
      <c r="H37" s="22" t="s">
        <v>84</v>
      </c>
      <c r="I37">
        <f t="shared" si="2"/>
        <v>51.203702324861446</v>
      </c>
    </row>
    <row r="38" spans="1:9" ht="24.75" customHeight="1" x14ac:dyDescent="0.25">
      <c r="A38" s="17">
        <v>3</v>
      </c>
      <c r="B38" s="15" t="s">
        <v>88</v>
      </c>
      <c r="C38" s="8" t="s">
        <v>38</v>
      </c>
      <c r="D38" s="8">
        <v>102704.1</v>
      </c>
      <c r="E38" s="31">
        <f>[1]амортизация!J20</f>
        <v>107492.55720370001</v>
      </c>
      <c r="F38" s="15">
        <f t="shared" si="0"/>
        <v>4788.4572037000034</v>
      </c>
      <c r="G38" s="8">
        <f t="shared" si="1"/>
        <v>4.6623817390931919</v>
      </c>
      <c r="H38" s="22" t="s">
        <v>89</v>
      </c>
      <c r="I38">
        <f t="shared" si="2"/>
        <v>104.66238173909319</v>
      </c>
    </row>
    <row r="39" spans="1:9" ht="24.75" customHeight="1" x14ac:dyDescent="0.25">
      <c r="A39" s="17">
        <v>4</v>
      </c>
      <c r="B39" s="15" t="s">
        <v>90</v>
      </c>
      <c r="C39" s="8" t="s">
        <v>38</v>
      </c>
      <c r="D39" s="8">
        <f>D40+D41+D46+D47+D45</f>
        <v>390772.68160000001</v>
      </c>
      <c r="E39" s="31">
        <f>E40+E41+E46+E47+E45</f>
        <v>415599.74636156723</v>
      </c>
      <c r="F39" s="15">
        <f t="shared" si="0"/>
        <v>24827.064761567221</v>
      </c>
      <c r="G39" s="8">
        <f t="shared" si="1"/>
        <v>6.3533266091974525</v>
      </c>
      <c r="H39" s="26"/>
      <c r="I39">
        <f t="shared" si="2"/>
        <v>106.35332660919745</v>
      </c>
    </row>
    <row r="40" spans="1:9" ht="24.75" customHeight="1" x14ac:dyDescent="0.3">
      <c r="A40" s="32" t="s">
        <v>91</v>
      </c>
      <c r="B40" s="25" t="s">
        <v>92</v>
      </c>
      <c r="C40" s="19" t="s">
        <v>38</v>
      </c>
      <c r="D40" s="19">
        <v>294490.40000000002</v>
      </c>
      <c r="E40" s="23">
        <f>'[1]оплата труда '!E16</f>
        <v>290400</v>
      </c>
      <c r="F40" s="15">
        <f t="shared" si="0"/>
        <v>-4090.4000000000233</v>
      </c>
      <c r="G40" s="8">
        <f t="shared" si="1"/>
        <v>-1.3889756677976663</v>
      </c>
      <c r="H40" s="26"/>
      <c r="I40">
        <f t="shared" si="2"/>
        <v>98.611024332202334</v>
      </c>
    </row>
    <row r="41" spans="1:9" ht="24.75" customHeight="1" x14ac:dyDescent="0.25">
      <c r="A41" s="32" t="s">
        <v>93</v>
      </c>
      <c r="B41" s="25" t="s">
        <v>81</v>
      </c>
      <c r="C41" s="19" t="s">
        <v>38</v>
      </c>
      <c r="D41" s="19">
        <f>D42+D43+D44</f>
        <v>37989.281600000002</v>
      </c>
      <c r="E41" s="19">
        <f>E42+E43+E44</f>
        <v>36540.617471160003</v>
      </c>
      <c r="F41" s="15">
        <f t="shared" si="0"/>
        <v>-1448.6641288399987</v>
      </c>
      <c r="G41" s="8">
        <f t="shared" si="1"/>
        <v>-3.8133496287015731</v>
      </c>
      <c r="H41" s="26"/>
      <c r="I41">
        <f t="shared" si="2"/>
        <v>96.186650371298427</v>
      </c>
    </row>
    <row r="42" spans="1:9" ht="24.75" customHeight="1" x14ac:dyDescent="0.25">
      <c r="A42" s="32"/>
      <c r="B42" s="25" t="s">
        <v>82</v>
      </c>
      <c r="C42" s="19" t="s">
        <v>38</v>
      </c>
      <c r="D42" s="19">
        <f>D40*0.9*0.06</f>
        <v>15902.481600000003</v>
      </c>
      <c r="E42" s="19">
        <f>'[1]оплата труда '!E20</f>
        <v>16408.989544771044</v>
      </c>
      <c r="F42" s="15">
        <f t="shared" si="0"/>
        <v>506.50794477104137</v>
      </c>
      <c r="G42" s="8">
        <f t="shared" si="1"/>
        <v>3.1850874442831696</v>
      </c>
      <c r="H42" s="26"/>
      <c r="I42">
        <f t="shared" si="2"/>
        <v>103.18508744428317</v>
      </c>
    </row>
    <row r="43" spans="1:9" ht="24.75" customHeight="1" x14ac:dyDescent="0.25">
      <c r="A43" s="32"/>
      <c r="B43" s="25" t="s">
        <v>83</v>
      </c>
      <c r="C43" s="19" t="s">
        <v>38</v>
      </c>
      <c r="D43" s="19">
        <v>13252.1</v>
      </c>
      <c r="E43" s="19">
        <f>'[1]оплата труда '!E21</f>
        <v>12300.935629915311</v>
      </c>
      <c r="F43" s="15">
        <f t="shared" si="0"/>
        <v>-951.16437008468893</v>
      </c>
      <c r="G43" s="8">
        <f t="shared" si="1"/>
        <v>-7.1774614595776427</v>
      </c>
      <c r="H43" s="30" t="s">
        <v>84</v>
      </c>
      <c r="I43">
        <f t="shared" si="2"/>
        <v>92.822538540422357</v>
      </c>
    </row>
    <row r="44" spans="1:9" ht="24.75" customHeight="1" x14ac:dyDescent="0.25">
      <c r="A44" s="32" t="s">
        <v>94</v>
      </c>
      <c r="B44" s="25" t="s">
        <v>85</v>
      </c>
      <c r="C44" s="19" t="s">
        <v>38</v>
      </c>
      <c r="D44" s="19">
        <v>8834.7000000000007</v>
      </c>
      <c r="E44" s="19">
        <f>'[1]оплата труда '!E22</f>
        <v>7830.6922964736477</v>
      </c>
      <c r="F44" s="15">
        <f t="shared" si="0"/>
        <v>-1004.007703526353</v>
      </c>
      <c r="G44" s="8">
        <f t="shared" si="1"/>
        <v>-11.364366685075353</v>
      </c>
      <c r="H44" s="30" t="s">
        <v>84</v>
      </c>
      <c r="I44">
        <f t="shared" si="2"/>
        <v>88.635633314924647</v>
      </c>
    </row>
    <row r="45" spans="1:9" ht="24.75" customHeight="1" x14ac:dyDescent="0.25">
      <c r="A45" s="32" t="s">
        <v>95</v>
      </c>
      <c r="B45" s="25" t="s">
        <v>87</v>
      </c>
      <c r="C45" s="19" t="s">
        <v>38</v>
      </c>
      <c r="D45" s="19">
        <v>908.8</v>
      </c>
      <c r="E45" s="19">
        <f>'[1]оплата труда '!E23</f>
        <v>4335.8213367072231</v>
      </c>
      <c r="F45" s="15">
        <f t="shared" si="0"/>
        <v>3427.0213367072229</v>
      </c>
      <c r="G45" s="8">
        <f t="shared" si="1"/>
        <v>377.09301680317157</v>
      </c>
      <c r="H45" s="30" t="s">
        <v>84</v>
      </c>
      <c r="I45">
        <f t="shared" si="2"/>
        <v>477.09301680317157</v>
      </c>
    </row>
    <row r="46" spans="1:9" ht="24.75" customHeight="1" x14ac:dyDescent="0.25">
      <c r="A46" s="32" t="s">
        <v>96</v>
      </c>
      <c r="B46" s="25" t="s">
        <v>97</v>
      </c>
      <c r="C46" s="19" t="s">
        <v>38</v>
      </c>
      <c r="D46" s="19">
        <v>1369</v>
      </c>
      <c r="E46" s="33">
        <f>'[1]расходы периода'!E15</f>
        <v>2095.6799999999998</v>
      </c>
      <c r="F46" s="15">
        <f t="shared" si="0"/>
        <v>726.67999999999984</v>
      </c>
      <c r="G46" s="8">
        <f t="shared" si="1"/>
        <v>53.081081081081066</v>
      </c>
      <c r="H46" s="22" t="s">
        <v>98</v>
      </c>
      <c r="I46">
        <f t="shared" si="2"/>
        <v>153.08108108108107</v>
      </c>
    </row>
    <row r="47" spans="1:9" ht="36" customHeight="1" x14ac:dyDescent="0.25">
      <c r="A47" s="32" t="s">
        <v>99</v>
      </c>
      <c r="B47" s="25" t="s">
        <v>100</v>
      </c>
      <c r="C47" s="19" t="s">
        <v>38</v>
      </c>
      <c r="D47" s="19">
        <v>56015.199999999997</v>
      </c>
      <c r="E47" s="19">
        <f>'[1]Мат.рем.25 нов'!O10</f>
        <v>82227.627553699989</v>
      </c>
      <c r="F47" s="15">
        <f t="shared" si="0"/>
        <v>26212.427553699992</v>
      </c>
      <c r="G47" s="8">
        <f t="shared" si="1"/>
        <v>46.795204790306911</v>
      </c>
      <c r="H47" s="24" t="s">
        <v>101</v>
      </c>
      <c r="I47">
        <f t="shared" si="2"/>
        <v>146.79520479030691</v>
      </c>
    </row>
    <row r="48" spans="1:9" ht="24.75" customHeight="1" x14ac:dyDescent="0.25">
      <c r="A48" s="34">
        <v>5</v>
      </c>
      <c r="B48" s="15" t="s">
        <v>102</v>
      </c>
      <c r="C48" s="8" t="s">
        <v>38</v>
      </c>
      <c r="D48" s="8">
        <f>SUM(D49:D61)</f>
        <v>5736.6</v>
      </c>
      <c r="E48" s="31">
        <f>E49+E50+E51+E52+E53+E54+E55+E56+E57+E58+E59+E60+E61+E62+E63</f>
        <v>30916.54031</v>
      </c>
      <c r="F48" s="15">
        <f t="shared" si="0"/>
        <v>25179.940309999998</v>
      </c>
      <c r="G48" s="8">
        <f t="shared" si="1"/>
        <v>438.93491458355118</v>
      </c>
      <c r="H48" s="26"/>
      <c r="I48">
        <f t="shared" si="2"/>
        <v>538.93491458355118</v>
      </c>
    </row>
    <row r="49" spans="1:9" ht="24.75" customHeight="1" x14ac:dyDescent="0.25">
      <c r="A49" s="32" t="s">
        <v>103</v>
      </c>
      <c r="B49" s="25" t="s">
        <v>104</v>
      </c>
      <c r="C49" s="19" t="s">
        <v>38</v>
      </c>
      <c r="D49" s="19">
        <v>291.8</v>
      </c>
      <c r="E49" s="33">
        <f>'[1]прочие затраты'!E10</f>
        <v>684.78</v>
      </c>
      <c r="F49" s="15">
        <f t="shared" si="0"/>
        <v>392.97999999999996</v>
      </c>
      <c r="G49" s="8">
        <f t="shared" si="1"/>
        <v>134.67443454420837</v>
      </c>
      <c r="H49" s="22" t="s">
        <v>105</v>
      </c>
      <c r="I49">
        <f t="shared" si="2"/>
        <v>234.67443454420837</v>
      </c>
    </row>
    <row r="50" spans="1:9" ht="37.5" customHeight="1" x14ac:dyDescent="0.25">
      <c r="A50" s="32" t="s">
        <v>106</v>
      </c>
      <c r="B50" s="25" t="s">
        <v>107</v>
      </c>
      <c r="C50" s="19" t="s">
        <v>38</v>
      </c>
      <c r="D50" s="19">
        <v>595.4</v>
      </c>
      <c r="E50" s="19">
        <f>'[1]прочие затраты'!E11</f>
        <v>1846.2739999999999</v>
      </c>
      <c r="F50" s="15">
        <f t="shared" si="0"/>
        <v>1250.8739999999998</v>
      </c>
      <c r="G50" s="8">
        <f t="shared" si="1"/>
        <v>210.0896876049714</v>
      </c>
      <c r="H50" s="35" t="s">
        <v>107</v>
      </c>
      <c r="I50">
        <f t="shared" si="2"/>
        <v>310.0896876049714</v>
      </c>
    </row>
    <row r="51" spans="1:9" ht="24.75" customHeight="1" x14ac:dyDescent="0.25">
      <c r="A51" s="32" t="s">
        <v>108</v>
      </c>
      <c r="B51" s="25" t="s">
        <v>109</v>
      </c>
      <c r="C51" s="19" t="s">
        <v>38</v>
      </c>
      <c r="D51" s="19">
        <v>473.3</v>
      </c>
      <c r="E51" s="33">
        <v>0</v>
      </c>
      <c r="F51" s="15">
        <f t="shared" si="0"/>
        <v>-473.3</v>
      </c>
      <c r="G51" s="8">
        <f t="shared" si="1"/>
        <v>-100</v>
      </c>
      <c r="H51" s="36" t="s">
        <v>110</v>
      </c>
      <c r="I51">
        <f t="shared" si="2"/>
        <v>0</v>
      </c>
    </row>
    <row r="52" spans="1:9" ht="36" customHeight="1" x14ac:dyDescent="0.25">
      <c r="A52" s="32" t="s">
        <v>111</v>
      </c>
      <c r="B52" s="25" t="s">
        <v>112</v>
      </c>
      <c r="C52" s="19" t="s">
        <v>38</v>
      </c>
      <c r="D52" s="19">
        <v>882.8</v>
      </c>
      <c r="E52" s="19">
        <f>'[1]прочие затраты'!E13</f>
        <v>1988.13</v>
      </c>
      <c r="F52" s="15">
        <f t="shared" si="0"/>
        <v>1105.3300000000002</v>
      </c>
      <c r="G52" s="8">
        <f t="shared" si="1"/>
        <v>125.20729497054828</v>
      </c>
      <c r="H52" s="24" t="s">
        <v>113</v>
      </c>
      <c r="I52">
        <f t="shared" si="2"/>
        <v>225.20729497054828</v>
      </c>
    </row>
    <row r="53" spans="1:9" ht="24.75" customHeight="1" x14ac:dyDescent="0.25">
      <c r="A53" s="32" t="s">
        <v>114</v>
      </c>
      <c r="B53" s="25" t="s">
        <v>115</v>
      </c>
      <c r="C53" s="19" t="s">
        <v>38</v>
      </c>
      <c r="D53" s="19">
        <v>148.4</v>
      </c>
      <c r="E53" s="33">
        <f>'[1]прочие затраты'!E14</f>
        <v>49.29</v>
      </c>
      <c r="F53" s="15">
        <f t="shared" si="0"/>
        <v>-99.110000000000014</v>
      </c>
      <c r="G53" s="8">
        <f t="shared" si="1"/>
        <v>-66.785714285714278</v>
      </c>
      <c r="H53" s="28" t="s">
        <v>116</v>
      </c>
      <c r="I53">
        <f t="shared" si="2"/>
        <v>33.214285714285715</v>
      </c>
    </row>
    <row r="54" spans="1:9" ht="24.75" customHeight="1" x14ac:dyDescent="0.25">
      <c r="A54" s="32" t="s">
        <v>117</v>
      </c>
      <c r="B54" s="25" t="s">
        <v>118</v>
      </c>
      <c r="C54" s="19" t="s">
        <v>38</v>
      </c>
      <c r="D54" s="19">
        <v>158.19999999999999</v>
      </c>
      <c r="E54" s="33">
        <f>'[1]прочие затраты'!E15</f>
        <v>3065.52</v>
      </c>
      <c r="F54" s="15">
        <f t="shared" si="0"/>
        <v>2907.32</v>
      </c>
      <c r="G54" s="8">
        <f t="shared" si="1"/>
        <v>1837.7496839443743</v>
      </c>
      <c r="H54" s="22" t="s">
        <v>119</v>
      </c>
      <c r="I54">
        <f t="shared" si="2"/>
        <v>1937.7496839443743</v>
      </c>
    </row>
    <row r="55" spans="1:9" ht="33.75" customHeight="1" x14ac:dyDescent="0.25">
      <c r="A55" s="32" t="s">
        <v>120</v>
      </c>
      <c r="B55" s="25" t="s">
        <v>121</v>
      </c>
      <c r="C55" s="19" t="s">
        <v>38</v>
      </c>
      <c r="D55" s="19">
        <v>1016.6</v>
      </c>
      <c r="E55" s="19">
        <f>'[1]прочие затраты'!E16</f>
        <v>3991.47</v>
      </c>
      <c r="F55" s="15">
        <f t="shared" si="0"/>
        <v>2974.87</v>
      </c>
      <c r="G55" s="8">
        <f t="shared" si="1"/>
        <v>292.6293527444422</v>
      </c>
      <c r="H55" s="24" t="s">
        <v>122</v>
      </c>
      <c r="I55">
        <f t="shared" si="2"/>
        <v>392.6293527444422</v>
      </c>
    </row>
    <row r="56" spans="1:9" ht="38.25" customHeight="1" x14ac:dyDescent="0.25">
      <c r="A56" s="32" t="s">
        <v>123</v>
      </c>
      <c r="B56" s="25" t="s">
        <v>124</v>
      </c>
      <c r="C56" s="19" t="s">
        <v>38</v>
      </c>
      <c r="D56" s="19">
        <v>252.4</v>
      </c>
      <c r="E56" s="33">
        <f>'[1]прочие затраты'!E17</f>
        <v>10018.953</v>
      </c>
      <c r="F56" s="15">
        <f t="shared" si="0"/>
        <v>9766.5529999999999</v>
      </c>
      <c r="G56" s="8">
        <f t="shared" si="1"/>
        <v>3869.4742472266244</v>
      </c>
      <c r="H56" s="37" t="s">
        <v>125</v>
      </c>
      <c r="I56">
        <f t="shared" si="2"/>
        <v>3969.4742472266244</v>
      </c>
    </row>
    <row r="57" spans="1:9" ht="24.75" customHeight="1" x14ac:dyDescent="0.25">
      <c r="A57" s="32" t="s">
        <v>126</v>
      </c>
      <c r="B57" s="25" t="s">
        <v>127</v>
      </c>
      <c r="C57" s="19" t="s">
        <v>38</v>
      </c>
      <c r="D57" s="19">
        <v>171.3</v>
      </c>
      <c r="E57" s="33">
        <f>'[1]прочие затраты'!E18</f>
        <v>2105.5662000000002</v>
      </c>
      <c r="F57" s="15">
        <f t="shared" si="0"/>
        <v>1934.2662000000003</v>
      </c>
      <c r="G57" s="8">
        <f t="shared" si="1"/>
        <v>1129.1688266199649</v>
      </c>
      <c r="H57" s="38" t="s">
        <v>128</v>
      </c>
      <c r="I57">
        <f t="shared" si="2"/>
        <v>1229.1688266199649</v>
      </c>
    </row>
    <row r="58" spans="1:9" ht="34.5" customHeight="1" x14ac:dyDescent="0.25">
      <c r="A58" s="32" t="s">
        <v>129</v>
      </c>
      <c r="B58" s="25" t="s">
        <v>130</v>
      </c>
      <c r="C58" s="19" t="s">
        <v>38</v>
      </c>
      <c r="D58" s="19">
        <v>737</v>
      </c>
      <c r="E58" s="33">
        <f>'[1]прочие затраты'!E19</f>
        <v>3824.9</v>
      </c>
      <c r="F58" s="15">
        <f t="shared" si="0"/>
        <v>3087.9</v>
      </c>
      <c r="G58" s="8">
        <f t="shared" si="1"/>
        <v>418.98236092265938</v>
      </c>
      <c r="H58" s="39" t="s">
        <v>131</v>
      </c>
      <c r="I58">
        <f t="shared" si="2"/>
        <v>518.98236092265938</v>
      </c>
    </row>
    <row r="59" spans="1:9" ht="24.75" customHeight="1" x14ac:dyDescent="0.25">
      <c r="A59" s="32" t="s">
        <v>132</v>
      </c>
      <c r="B59" s="25" t="s">
        <v>133</v>
      </c>
      <c r="C59" s="19" t="s">
        <v>38</v>
      </c>
      <c r="D59" s="19">
        <v>27.6</v>
      </c>
      <c r="E59" s="33">
        <f>'[1]прочие затраты'!E20</f>
        <v>453.6</v>
      </c>
      <c r="F59" s="15">
        <f t="shared" si="0"/>
        <v>426</v>
      </c>
      <c r="G59" s="8">
        <f t="shared" si="1"/>
        <v>1543.4782608695652</v>
      </c>
      <c r="H59" s="40" t="s">
        <v>134</v>
      </c>
      <c r="I59">
        <f t="shared" si="2"/>
        <v>1643.4782608695652</v>
      </c>
    </row>
    <row r="60" spans="1:9" ht="24.75" customHeight="1" x14ac:dyDescent="0.25">
      <c r="A60" s="32" t="s">
        <v>135</v>
      </c>
      <c r="B60" s="25" t="s">
        <v>136</v>
      </c>
      <c r="C60" s="19" t="s">
        <v>38</v>
      </c>
      <c r="D60" s="19">
        <v>366.9</v>
      </c>
      <c r="E60" s="33">
        <v>0</v>
      </c>
      <c r="F60" s="15">
        <f t="shared" si="0"/>
        <v>-366.9</v>
      </c>
      <c r="G60" s="8">
        <f t="shared" si="1"/>
        <v>-100</v>
      </c>
      <c r="H60" s="22" t="s">
        <v>137</v>
      </c>
      <c r="I60">
        <f t="shared" si="2"/>
        <v>0</v>
      </c>
    </row>
    <row r="61" spans="1:9" ht="24.75" customHeight="1" x14ac:dyDescent="0.25">
      <c r="A61" s="32" t="s">
        <v>138</v>
      </c>
      <c r="B61" s="25" t="s">
        <v>139</v>
      </c>
      <c r="C61" s="41" t="s">
        <v>38</v>
      </c>
      <c r="D61" s="19">
        <v>614.9</v>
      </c>
      <c r="E61" s="33">
        <f>'[1]прочие затраты'!E22</f>
        <v>942.03400000000011</v>
      </c>
      <c r="F61" s="15">
        <f t="shared" si="0"/>
        <v>327.13400000000013</v>
      </c>
      <c r="G61" s="8">
        <f t="shared" si="1"/>
        <v>53.20117092210117</v>
      </c>
      <c r="H61" s="42" t="s">
        <v>113</v>
      </c>
      <c r="I61">
        <f t="shared" si="2"/>
        <v>153.20117092210117</v>
      </c>
    </row>
    <row r="62" spans="1:9" ht="24.75" customHeight="1" x14ac:dyDescent="0.25">
      <c r="A62" s="32" t="s">
        <v>140</v>
      </c>
      <c r="B62" s="25" t="s">
        <v>141</v>
      </c>
      <c r="C62" s="41" t="s">
        <v>38</v>
      </c>
      <c r="D62" s="19">
        <v>0</v>
      </c>
      <c r="E62" s="33">
        <f>'[1]прочие затраты'!E23</f>
        <v>488.02310999999992</v>
      </c>
      <c r="F62" s="15">
        <f t="shared" si="0"/>
        <v>488.02310999999992</v>
      </c>
      <c r="G62" s="8">
        <v>100</v>
      </c>
      <c r="H62" s="43" t="s">
        <v>142</v>
      </c>
      <c r="I62" t="e">
        <f t="shared" si="2"/>
        <v>#DIV/0!</v>
      </c>
    </row>
    <row r="63" spans="1:9" ht="24.75" customHeight="1" x14ac:dyDescent="0.25">
      <c r="A63" s="32" t="s">
        <v>143</v>
      </c>
      <c r="B63" s="25" t="s">
        <v>144</v>
      </c>
      <c r="C63" s="41" t="s">
        <v>38</v>
      </c>
      <c r="D63" s="19">
        <v>0</v>
      </c>
      <c r="E63" s="33">
        <f>'[1]прочие затраты'!E24</f>
        <v>1458</v>
      </c>
      <c r="F63" s="15">
        <f t="shared" si="0"/>
        <v>1458</v>
      </c>
      <c r="G63" s="8">
        <v>100</v>
      </c>
      <c r="H63" s="39" t="s">
        <v>145</v>
      </c>
      <c r="I63" t="e">
        <f t="shared" si="2"/>
        <v>#DIV/0!</v>
      </c>
    </row>
    <row r="64" spans="1:9" ht="24.75" customHeight="1" x14ac:dyDescent="0.25">
      <c r="A64" s="34" t="s">
        <v>146</v>
      </c>
      <c r="B64" s="15" t="s">
        <v>147</v>
      </c>
      <c r="C64" s="8" t="s">
        <v>38</v>
      </c>
      <c r="D64" s="31">
        <f>D65</f>
        <v>170965.9106</v>
      </c>
      <c r="E64" s="31">
        <f>E65</f>
        <v>210625.36393125873</v>
      </c>
      <c r="F64" s="15">
        <f t="shared" si="0"/>
        <v>39659.45333125873</v>
      </c>
      <c r="G64" s="8">
        <f t="shared" si="1"/>
        <v>23.197287220636568</v>
      </c>
      <c r="H64" s="26"/>
      <c r="I64">
        <f t="shared" si="2"/>
        <v>123.19728722063657</v>
      </c>
    </row>
    <row r="65" spans="1:9" ht="24.75" customHeight="1" x14ac:dyDescent="0.25">
      <c r="A65" s="32">
        <v>6</v>
      </c>
      <c r="B65" s="20" t="s">
        <v>148</v>
      </c>
      <c r="C65" s="19" t="s">
        <v>38</v>
      </c>
      <c r="D65" s="19">
        <f>D66+D73+D74</f>
        <v>170965.9106</v>
      </c>
      <c r="E65" s="19">
        <f>E66+E73+E74</f>
        <v>210625.36393125873</v>
      </c>
      <c r="F65" s="15">
        <f t="shared" si="0"/>
        <v>39659.45333125873</v>
      </c>
      <c r="G65" s="8">
        <f t="shared" si="1"/>
        <v>23.197287220636568</v>
      </c>
      <c r="H65" s="36"/>
      <c r="I65">
        <f t="shared" si="2"/>
        <v>123.19728722063657</v>
      </c>
    </row>
    <row r="66" spans="1:9" ht="24.75" customHeight="1" x14ac:dyDescent="0.25">
      <c r="A66" s="32" t="s">
        <v>149</v>
      </c>
      <c r="B66" s="20" t="s">
        <v>150</v>
      </c>
      <c r="C66" s="19" t="s">
        <v>38</v>
      </c>
      <c r="D66" s="19">
        <f>D67+D68</f>
        <v>93993.6106</v>
      </c>
      <c r="E66" s="19">
        <f>E67+E68</f>
        <v>94949.827755131322</v>
      </c>
      <c r="F66" s="15">
        <f t="shared" si="0"/>
        <v>956.21715513132222</v>
      </c>
      <c r="G66" s="8">
        <f t="shared" si="1"/>
        <v>1.0173214424123103</v>
      </c>
      <c r="H66" s="26" t="s">
        <v>151</v>
      </c>
      <c r="I66">
        <f t="shared" si="2"/>
        <v>101.01732144241231</v>
      </c>
    </row>
    <row r="67" spans="1:9" ht="24.75" customHeight="1" x14ac:dyDescent="0.25">
      <c r="A67" s="44" t="s">
        <v>152</v>
      </c>
      <c r="B67" s="20" t="s">
        <v>153</v>
      </c>
      <c r="C67" s="41" t="s">
        <v>38</v>
      </c>
      <c r="D67" s="41">
        <v>83253.899999999994</v>
      </c>
      <c r="E67" s="19">
        <f>'[1]оплата труда '!E24</f>
        <v>83233.899999999994</v>
      </c>
      <c r="F67" s="15">
        <f t="shared" si="0"/>
        <v>-20</v>
      </c>
      <c r="G67" s="8">
        <f t="shared" si="1"/>
        <v>-2.4022898626981259E-2</v>
      </c>
      <c r="H67" s="26" t="s">
        <v>151</v>
      </c>
      <c r="I67">
        <f t="shared" si="2"/>
        <v>99.975977101373019</v>
      </c>
    </row>
    <row r="68" spans="1:9" ht="24.75" customHeight="1" x14ac:dyDescent="0.25">
      <c r="A68" s="45" t="s">
        <v>154</v>
      </c>
      <c r="B68" s="9" t="s">
        <v>155</v>
      </c>
      <c r="C68" s="10" t="s">
        <v>38</v>
      </c>
      <c r="D68" s="46">
        <f>D69+D70+D71</f>
        <v>10739.7106</v>
      </c>
      <c r="E68" s="10">
        <f>E69+E70+E71+E72</f>
        <v>11715.927755131333</v>
      </c>
      <c r="F68" s="15">
        <f t="shared" si="0"/>
        <v>976.21715513133313</v>
      </c>
      <c r="G68" s="8">
        <f t="shared" si="1"/>
        <v>9.0897901395158129</v>
      </c>
      <c r="H68" s="26"/>
      <c r="I68">
        <f t="shared" si="2"/>
        <v>109.08979013951581</v>
      </c>
    </row>
    <row r="69" spans="1:9" ht="24.75" customHeight="1" x14ac:dyDescent="0.25">
      <c r="A69" s="44" t="s">
        <v>156</v>
      </c>
      <c r="B69" s="20" t="s">
        <v>157</v>
      </c>
      <c r="C69" s="41" t="s">
        <v>38</v>
      </c>
      <c r="D69" s="41">
        <f>D67*0.9*0.06</f>
        <v>4495.7105999999994</v>
      </c>
      <c r="E69" s="41">
        <f>'[1]оплата труда '!E28</f>
        <v>4703.113618700133</v>
      </c>
      <c r="F69" s="15">
        <f t="shared" si="0"/>
        <v>207.40301870013354</v>
      </c>
      <c r="G69" s="8">
        <f t="shared" si="1"/>
        <v>4.6133534195936363</v>
      </c>
      <c r="H69" s="36" t="s">
        <v>151</v>
      </c>
      <c r="I69">
        <f t="shared" si="2"/>
        <v>104.61335341959364</v>
      </c>
    </row>
    <row r="70" spans="1:9" ht="24.75" customHeight="1" x14ac:dyDescent="0.25">
      <c r="A70" s="32" t="s">
        <v>158</v>
      </c>
      <c r="B70" s="25" t="s">
        <v>159</v>
      </c>
      <c r="C70" s="19" t="s">
        <v>38</v>
      </c>
      <c r="D70" s="19">
        <v>3746.4</v>
      </c>
      <c r="E70" s="19">
        <f>'[1]оплата труда '!E29</f>
        <v>3525.6709577369415</v>
      </c>
      <c r="F70" s="15">
        <f t="shared" si="0"/>
        <v>-220.72904226305855</v>
      </c>
      <c r="G70" s="8">
        <f t="shared" si="1"/>
        <v>-5.8917638870130844</v>
      </c>
      <c r="H70" s="36"/>
      <c r="I70">
        <f t="shared" si="2"/>
        <v>94.108236112986916</v>
      </c>
    </row>
    <row r="71" spans="1:9" ht="24.75" customHeight="1" x14ac:dyDescent="0.25">
      <c r="A71" s="32" t="s">
        <v>160</v>
      </c>
      <c r="B71" s="20" t="s">
        <v>161</v>
      </c>
      <c r="C71" s="19" t="s">
        <v>38</v>
      </c>
      <c r="D71" s="19">
        <v>2497.6</v>
      </c>
      <c r="E71" s="19">
        <f>'[1]оплата труда '!E30</f>
        <v>2244.4182490890421</v>
      </c>
      <c r="F71" s="15">
        <f t="shared" si="0"/>
        <v>-253.18175091095782</v>
      </c>
      <c r="G71" s="8">
        <f t="shared" ref="G71:G112" si="3">E71/D71*100-100</f>
        <v>-10.137001557933928</v>
      </c>
      <c r="H71" s="22" t="s">
        <v>84</v>
      </c>
      <c r="I71">
        <f t="shared" ref="I71:I112" si="4">E71/D71*100</f>
        <v>89.862998442066072</v>
      </c>
    </row>
    <row r="72" spans="1:9" ht="24.75" customHeight="1" x14ac:dyDescent="0.25">
      <c r="A72" s="32"/>
      <c r="B72" s="25" t="s">
        <v>162</v>
      </c>
      <c r="C72" s="19"/>
      <c r="D72" s="19"/>
      <c r="E72" s="19">
        <f>'[1]оплата труда '!E31</f>
        <v>1242.724929605218</v>
      </c>
      <c r="F72" s="15"/>
      <c r="G72" s="8"/>
      <c r="H72" s="30" t="s">
        <v>163</v>
      </c>
      <c r="I72" t="e">
        <f t="shared" si="4"/>
        <v>#DIV/0!</v>
      </c>
    </row>
    <row r="73" spans="1:9" ht="24.75" customHeight="1" x14ac:dyDescent="0.25">
      <c r="A73" s="32" t="s">
        <v>164</v>
      </c>
      <c r="B73" s="20" t="s">
        <v>165</v>
      </c>
      <c r="C73" s="19" t="s">
        <v>38</v>
      </c>
      <c r="D73" s="19">
        <v>11682.9</v>
      </c>
      <c r="E73" s="19">
        <f>'[1]Налоги свод'!AN16</f>
        <v>14551.015976127415</v>
      </c>
      <c r="F73" s="15">
        <f t="shared" ref="F73:F112" si="5">E73-D73</f>
        <v>2868.1159761274157</v>
      </c>
      <c r="G73" s="8">
        <f t="shared" si="3"/>
        <v>24.549692080968043</v>
      </c>
      <c r="H73" s="36" t="s">
        <v>166</v>
      </c>
      <c r="I73">
        <f t="shared" si="4"/>
        <v>124.54969208096804</v>
      </c>
    </row>
    <row r="74" spans="1:9" ht="24.75" customHeight="1" x14ac:dyDescent="0.25">
      <c r="A74" s="34" t="s">
        <v>152</v>
      </c>
      <c r="B74" s="15" t="s">
        <v>167</v>
      </c>
      <c r="C74" s="8" t="s">
        <v>38</v>
      </c>
      <c r="D74" s="8">
        <f>SUM(D75:D92)</f>
        <v>65289.4</v>
      </c>
      <c r="E74" s="31">
        <f>E75+E76+E77+E78+E79+E80+E81+E82+E83+E84+E85+E86+E87+E88+E89+E90+E91+E92+E93+E94+E95+E96+E97+E98+E99+E100</f>
        <v>101124.52020000001</v>
      </c>
      <c r="F74" s="15">
        <f t="shared" si="5"/>
        <v>35835.120200000012</v>
      </c>
      <c r="G74" s="8">
        <f t="shared" si="3"/>
        <v>54.886582201705039</v>
      </c>
      <c r="H74" s="36"/>
      <c r="I74">
        <f t="shared" si="4"/>
        <v>154.88658220170504</v>
      </c>
    </row>
    <row r="75" spans="1:9" ht="24.75" customHeight="1" x14ac:dyDescent="0.25">
      <c r="A75" s="32" t="s">
        <v>168</v>
      </c>
      <c r="B75" s="25" t="s">
        <v>88</v>
      </c>
      <c r="C75" s="19" t="s">
        <v>38</v>
      </c>
      <c r="D75" s="19">
        <v>1840.1</v>
      </c>
      <c r="E75" s="33">
        <f>'[1]расходы периода'!E8</f>
        <v>2494.12</v>
      </c>
      <c r="F75" s="15">
        <f t="shared" si="5"/>
        <v>654.02</v>
      </c>
      <c r="G75" s="8">
        <f t="shared" si="3"/>
        <v>35.542633552524308</v>
      </c>
      <c r="H75" s="36" t="s">
        <v>169</v>
      </c>
      <c r="I75">
        <f t="shared" si="4"/>
        <v>135.54263355252431</v>
      </c>
    </row>
    <row r="76" spans="1:9" ht="24.75" customHeight="1" x14ac:dyDescent="0.25">
      <c r="A76" s="32" t="s">
        <v>170</v>
      </c>
      <c r="B76" s="25" t="s">
        <v>171</v>
      </c>
      <c r="C76" s="19" t="s">
        <v>38</v>
      </c>
      <c r="D76" s="19">
        <v>3693</v>
      </c>
      <c r="E76" s="33">
        <f>'[1]расходы периода'!E9</f>
        <v>3962.56</v>
      </c>
      <c r="F76" s="15">
        <f t="shared" si="5"/>
        <v>269.55999999999995</v>
      </c>
      <c r="G76" s="8">
        <f t="shared" si="3"/>
        <v>7.2992147305713502</v>
      </c>
      <c r="H76" s="47" t="s">
        <v>172</v>
      </c>
      <c r="I76">
        <f t="shared" si="4"/>
        <v>107.29921473057135</v>
      </c>
    </row>
    <row r="77" spans="1:9" ht="38.25" customHeight="1" x14ac:dyDescent="0.25">
      <c r="A77" s="32" t="s">
        <v>173</v>
      </c>
      <c r="B77" s="25" t="s">
        <v>174</v>
      </c>
      <c r="C77" s="19" t="s">
        <v>38</v>
      </c>
      <c r="D77" s="19">
        <v>365.2</v>
      </c>
      <c r="E77" s="33">
        <f>'[1]расходы периода'!E10</f>
        <v>628.58000000000004</v>
      </c>
      <c r="F77" s="15">
        <f t="shared" si="5"/>
        <v>263.38000000000005</v>
      </c>
      <c r="G77" s="8">
        <f t="shared" si="3"/>
        <v>72.119386637458945</v>
      </c>
      <c r="H77" s="48" t="s">
        <v>175</v>
      </c>
      <c r="I77">
        <f t="shared" si="4"/>
        <v>172.11938663745894</v>
      </c>
    </row>
    <row r="78" spans="1:9" ht="24.75" customHeight="1" x14ac:dyDescent="0.25">
      <c r="A78" s="32" t="s">
        <v>176</v>
      </c>
      <c r="B78" s="25" t="s">
        <v>177</v>
      </c>
      <c r="C78" s="19" t="s">
        <v>38</v>
      </c>
      <c r="D78" s="19">
        <v>521.29999999999995</v>
      </c>
      <c r="E78" s="33">
        <f>'[1]расходы периода'!E11</f>
        <v>749.92</v>
      </c>
      <c r="F78" s="15">
        <f t="shared" si="5"/>
        <v>228.62</v>
      </c>
      <c r="G78" s="8">
        <f t="shared" si="3"/>
        <v>43.855745252253968</v>
      </c>
      <c r="H78" s="30" t="s">
        <v>178</v>
      </c>
      <c r="I78">
        <f t="shared" si="4"/>
        <v>143.85574525225397</v>
      </c>
    </row>
    <row r="79" spans="1:9" ht="24.75" customHeight="1" x14ac:dyDescent="0.25">
      <c r="A79" s="32" t="s">
        <v>179</v>
      </c>
      <c r="B79" s="25" t="s">
        <v>180</v>
      </c>
      <c r="C79" s="19" t="s">
        <v>38</v>
      </c>
      <c r="D79" s="19">
        <v>269.10000000000002</v>
      </c>
      <c r="E79" s="33">
        <f>'[1]расходы периода'!E12</f>
        <v>619.71</v>
      </c>
      <c r="F79" s="15">
        <f t="shared" si="5"/>
        <v>350.61</v>
      </c>
      <c r="G79" s="8">
        <f t="shared" si="3"/>
        <v>130.28985507246378</v>
      </c>
      <c r="H79" s="49" t="s">
        <v>181</v>
      </c>
      <c r="I79">
        <f t="shared" si="4"/>
        <v>230.28985507246378</v>
      </c>
    </row>
    <row r="80" spans="1:9" ht="24.75" customHeight="1" x14ac:dyDescent="0.25">
      <c r="A80" s="32" t="s">
        <v>182</v>
      </c>
      <c r="B80" s="20" t="s">
        <v>183</v>
      </c>
      <c r="C80" s="19" t="s">
        <v>38</v>
      </c>
      <c r="D80" s="19">
        <v>1531.9</v>
      </c>
      <c r="E80" s="33">
        <f>'[1]расходы периода'!E13</f>
        <v>5674.5</v>
      </c>
      <c r="F80" s="15">
        <f t="shared" si="5"/>
        <v>4142.6000000000004</v>
      </c>
      <c r="G80" s="8">
        <f t="shared" si="3"/>
        <v>270.42235132841569</v>
      </c>
      <c r="H80" s="30" t="s">
        <v>184</v>
      </c>
      <c r="I80">
        <f t="shared" si="4"/>
        <v>370.42235132841569</v>
      </c>
    </row>
    <row r="81" spans="1:9" ht="24.75" customHeight="1" x14ac:dyDescent="0.25">
      <c r="A81" s="32" t="s">
        <v>185</v>
      </c>
      <c r="B81" s="20" t="s">
        <v>186</v>
      </c>
      <c r="C81" s="19" t="s">
        <v>38</v>
      </c>
      <c r="D81" s="19">
        <v>1658.2</v>
      </c>
      <c r="E81" s="33">
        <f>'[1]расходы периода'!E14</f>
        <v>1758.2</v>
      </c>
      <c r="F81" s="15">
        <f t="shared" si="5"/>
        <v>100</v>
      </c>
      <c r="G81" s="8">
        <f t="shared" si="3"/>
        <v>6.0306356289953129</v>
      </c>
      <c r="H81" s="36" t="s">
        <v>187</v>
      </c>
      <c r="I81">
        <f t="shared" si="4"/>
        <v>106.03063562899531</v>
      </c>
    </row>
    <row r="82" spans="1:9" ht="24.75" customHeight="1" x14ac:dyDescent="0.25">
      <c r="A82" s="32" t="s">
        <v>188</v>
      </c>
      <c r="B82" s="20" t="s">
        <v>189</v>
      </c>
      <c r="C82" s="19" t="s">
        <v>38</v>
      </c>
      <c r="D82" s="19">
        <v>434.2</v>
      </c>
      <c r="E82" s="33">
        <f>'[1]расходы периода'!E15</f>
        <v>2095.6799999999998</v>
      </c>
      <c r="F82" s="15">
        <f t="shared" si="5"/>
        <v>1661.4799999999998</v>
      </c>
      <c r="G82" s="8">
        <f t="shared" si="3"/>
        <v>382.65315522800546</v>
      </c>
      <c r="H82" s="50" t="s">
        <v>190</v>
      </c>
      <c r="I82">
        <f t="shared" si="4"/>
        <v>482.65315522800546</v>
      </c>
    </row>
    <row r="83" spans="1:9" ht="24.75" customHeight="1" x14ac:dyDescent="0.25">
      <c r="A83" s="32" t="s">
        <v>191</v>
      </c>
      <c r="B83" s="20" t="s">
        <v>192</v>
      </c>
      <c r="C83" s="19" t="s">
        <v>38</v>
      </c>
      <c r="D83" s="19">
        <v>1554.3</v>
      </c>
      <c r="E83" s="33">
        <f>'[1]расходы периода'!E16</f>
        <v>935.13</v>
      </c>
      <c r="F83" s="15">
        <f t="shared" si="5"/>
        <v>-619.16999999999996</v>
      </c>
      <c r="G83" s="8">
        <f t="shared" si="3"/>
        <v>-39.835939007913524</v>
      </c>
      <c r="H83" s="22" t="s">
        <v>193</v>
      </c>
      <c r="I83">
        <f t="shared" si="4"/>
        <v>60.164060992086476</v>
      </c>
    </row>
    <row r="84" spans="1:9" ht="24.75" customHeight="1" x14ac:dyDescent="0.25">
      <c r="A84" s="32" t="s">
        <v>194</v>
      </c>
      <c r="B84" s="25" t="s">
        <v>195</v>
      </c>
      <c r="C84" s="19" t="s">
        <v>38</v>
      </c>
      <c r="D84" s="19">
        <v>2726.8</v>
      </c>
      <c r="E84" s="33">
        <f>'[1]расходы периода'!E17</f>
        <v>303.35000000000002</v>
      </c>
      <c r="F84" s="15">
        <f t="shared" si="5"/>
        <v>-2423.4500000000003</v>
      </c>
      <c r="G84" s="8">
        <f t="shared" si="3"/>
        <v>-88.875238374651602</v>
      </c>
      <c r="H84" s="36" t="s">
        <v>196</v>
      </c>
      <c r="I84">
        <f t="shared" si="4"/>
        <v>11.124761625348393</v>
      </c>
    </row>
    <row r="85" spans="1:9" ht="24.75" customHeight="1" x14ac:dyDescent="0.25">
      <c r="A85" s="32" t="s">
        <v>197</v>
      </c>
      <c r="B85" s="25" t="s">
        <v>198</v>
      </c>
      <c r="C85" s="19" t="s">
        <v>38</v>
      </c>
      <c r="D85" s="33">
        <v>182.5</v>
      </c>
      <c r="E85" s="33">
        <f>'[1]расходы периода'!E18</f>
        <v>186.1</v>
      </c>
      <c r="F85" s="15">
        <f t="shared" si="5"/>
        <v>3.5999999999999943</v>
      </c>
      <c r="G85" s="8">
        <f t="shared" si="3"/>
        <v>1.972602739726014</v>
      </c>
      <c r="H85" s="26" t="s">
        <v>151</v>
      </c>
      <c r="I85">
        <f t="shared" si="4"/>
        <v>101.97260273972601</v>
      </c>
    </row>
    <row r="86" spans="1:9" ht="24.75" customHeight="1" x14ac:dyDescent="0.25">
      <c r="A86" s="32" t="s">
        <v>199</v>
      </c>
      <c r="B86" s="25" t="s">
        <v>200</v>
      </c>
      <c r="C86" s="19" t="s">
        <v>38</v>
      </c>
      <c r="D86" s="19">
        <v>48660.7</v>
      </c>
      <c r="E86" s="33">
        <f>'[1]расходы периода'!E19</f>
        <v>72656.710200000001</v>
      </c>
      <c r="F86" s="15">
        <f t="shared" si="5"/>
        <v>23996.010200000004</v>
      </c>
      <c r="G86" s="8">
        <f t="shared" si="3"/>
        <v>49.312916172599245</v>
      </c>
      <c r="H86" s="36" t="s">
        <v>201</v>
      </c>
      <c r="I86">
        <f t="shared" si="4"/>
        <v>149.31291617259924</v>
      </c>
    </row>
    <row r="87" spans="1:9" ht="24.75" customHeight="1" x14ac:dyDescent="0.25">
      <c r="A87" s="32" t="s">
        <v>202</v>
      </c>
      <c r="B87" s="25" t="s">
        <v>203</v>
      </c>
      <c r="C87" s="19" t="s">
        <v>38</v>
      </c>
      <c r="D87" s="19">
        <v>831.6</v>
      </c>
      <c r="E87" s="33">
        <f>'[1]расходы периода'!E20</f>
        <v>513.44000000000005</v>
      </c>
      <c r="F87" s="15">
        <f t="shared" si="5"/>
        <v>-318.15999999999997</v>
      </c>
      <c r="G87" s="8">
        <f t="shared" si="3"/>
        <v>-38.258778258778257</v>
      </c>
      <c r="H87" s="22" t="s">
        <v>193</v>
      </c>
      <c r="I87">
        <f t="shared" si="4"/>
        <v>61.741221741221743</v>
      </c>
    </row>
    <row r="88" spans="1:9" ht="24.75" customHeight="1" x14ac:dyDescent="0.25">
      <c r="A88" s="32" t="s">
        <v>204</v>
      </c>
      <c r="B88" s="25" t="s">
        <v>205</v>
      </c>
      <c r="C88" s="19" t="s">
        <v>38</v>
      </c>
      <c r="D88" s="19">
        <v>134.6</v>
      </c>
      <c r="E88" s="33">
        <f>'[1]расходы периода'!E21</f>
        <v>181.94</v>
      </c>
      <c r="F88" s="15">
        <f t="shared" si="5"/>
        <v>47.34</v>
      </c>
      <c r="G88" s="8">
        <f t="shared" si="3"/>
        <v>35.170876671619624</v>
      </c>
      <c r="H88" s="30" t="s">
        <v>206</v>
      </c>
      <c r="I88">
        <f t="shared" si="4"/>
        <v>135.17087667161962</v>
      </c>
    </row>
    <row r="89" spans="1:9" ht="39.75" customHeight="1" x14ac:dyDescent="0.25">
      <c r="A89" s="32" t="s">
        <v>207</v>
      </c>
      <c r="B89" s="25" t="s">
        <v>208</v>
      </c>
      <c r="C89" s="19" t="s">
        <v>38</v>
      </c>
      <c r="D89" s="19">
        <v>45.7</v>
      </c>
      <c r="E89" s="33">
        <f>'[1]расходы периода'!E22</f>
        <v>335.16</v>
      </c>
      <c r="F89" s="15">
        <f t="shared" si="5"/>
        <v>289.46000000000004</v>
      </c>
      <c r="G89" s="8">
        <f t="shared" si="3"/>
        <v>633.39168490153168</v>
      </c>
      <c r="H89" s="50" t="s">
        <v>209</v>
      </c>
      <c r="I89">
        <f t="shared" si="4"/>
        <v>733.39168490153168</v>
      </c>
    </row>
    <row r="90" spans="1:9" ht="24.75" customHeight="1" x14ac:dyDescent="0.25">
      <c r="A90" s="32" t="s">
        <v>210</v>
      </c>
      <c r="B90" s="25" t="s">
        <v>211</v>
      </c>
      <c r="C90" s="19" t="s">
        <v>38</v>
      </c>
      <c r="D90" s="19">
        <v>222.8</v>
      </c>
      <c r="E90" s="33">
        <f>'[1]расходы периода'!E23</f>
        <v>232</v>
      </c>
      <c r="F90" s="15">
        <f t="shared" si="5"/>
        <v>9.1999999999999886</v>
      </c>
      <c r="G90" s="8">
        <f t="shared" si="3"/>
        <v>4.1292639138240474</v>
      </c>
      <c r="H90" s="26" t="s">
        <v>151</v>
      </c>
      <c r="I90">
        <f t="shared" si="4"/>
        <v>104.12926391382405</v>
      </c>
    </row>
    <row r="91" spans="1:9" ht="24.75" customHeight="1" x14ac:dyDescent="0.25">
      <c r="A91" s="32" t="s">
        <v>212</v>
      </c>
      <c r="B91" s="25" t="s">
        <v>213</v>
      </c>
      <c r="C91" s="19" t="s">
        <v>38</v>
      </c>
      <c r="D91" s="19">
        <v>14.1</v>
      </c>
      <c r="E91" s="33">
        <f>'[1]расходы периода'!E24</f>
        <v>384</v>
      </c>
      <c r="F91" s="15">
        <f t="shared" si="5"/>
        <v>369.9</v>
      </c>
      <c r="G91" s="8">
        <f t="shared" si="3"/>
        <v>2623.4042553191489</v>
      </c>
      <c r="H91" s="30" t="s">
        <v>214</v>
      </c>
      <c r="I91">
        <f t="shared" si="4"/>
        <v>2723.4042553191489</v>
      </c>
    </row>
    <row r="92" spans="1:9" ht="24.75" customHeight="1" x14ac:dyDescent="0.25">
      <c r="A92" s="32" t="s">
        <v>215</v>
      </c>
      <c r="B92" s="25" t="s">
        <v>216</v>
      </c>
      <c r="C92" s="19" t="s">
        <v>38</v>
      </c>
      <c r="D92" s="19">
        <v>603.29999999999995</v>
      </c>
      <c r="E92" s="33">
        <f>'[1]расходы периода'!E25</f>
        <v>5032.25</v>
      </c>
      <c r="F92" s="15">
        <f t="shared" si="5"/>
        <v>4428.95</v>
      </c>
      <c r="G92" s="8">
        <f t="shared" si="3"/>
        <v>734.1206696502569</v>
      </c>
      <c r="H92" s="30" t="s">
        <v>217</v>
      </c>
      <c r="I92">
        <f t="shared" si="4"/>
        <v>834.1206696502569</v>
      </c>
    </row>
    <row r="93" spans="1:9" ht="39.75" customHeight="1" x14ac:dyDescent="0.25">
      <c r="A93" s="32" t="s">
        <v>218</v>
      </c>
      <c r="B93" s="25" t="s">
        <v>219</v>
      </c>
      <c r="C93" s="19" t="s">
        <v>38</v>
      </c>
      <c r="D93" s="19">
        <v>0</v>
      </c>
      <c r="E93" s="33">
        <f>'[1]расходы периода'!E26</f>
        <v>330.29</v>
      </c>
      <c r="F93" s="15">
        <f>E93-D93</f>
        <v>330.29</v>
      </c>
      <c r="G93" s="8">
        <v>100</v>
      </c>
      <c r="H93" s="51" t="s">
        <v>220</v>
      </c>
      <c r="I93" t="e">
        <f t="shared" si="4"/>
        <v>#DIV/0!</v>
      </c>
    </row>
    <row r="94" spans="1:9" ht="24.75" customHeight="1" x14ac:dyDescent="0.25">
      <c r="A94" s="32" t="s">
        <v>221</v>
      </c>
      <c r="B94" s="25" t="s">
        <v>222</v>
      </c>
      <c r="C94" s="19" t="s">
        <v>38</v>
      </c>
      <c r="D94" s="19">
        <v>0</v>
      </c>
      <c r="E94" s="33">
        <f>'[1]расходы периода'!E27</f>
        <v>202.74</v>
      </c>
      <c r="F94" s="15">
        <f t="shared" ref="F94:F100" si="6">E94-D94</f>
        <v>202.74</v>
      </c>
      <c r="G94" s="8">
        <v>100</v>
      </c>
      <c r="H94" s="43" t="s">
        <v>223</v>
      </c>
      <c r="I94" t="e">
        <f t="shared" si="4"/>
        <v>#DIV/0!</v>
      </c>
    </row>
    <row r="95" spans="1:9" ht="24.75" customHeight="1" x14ac:dyDescent="0.25">
      <c r="A95" s="32" t="s">
        <v>224</v>
      </c>
      <c r="B95" s="25" t="s">
        <v>225</v>
      </c>
      <c r="C95" s="19" t="s">
        <v>38</v>
      </c>
      <c r="D95" s="19">
        <v>0</v>
      </c>
      <c r="E95" s="33">
        <f>'[1]расходы периода'!E28</f>
        <v>55.13</v>
      </c>
      <c r="F95" s="15">
        <f t="shared" si="6"/>
        <v>55.13</v>
      </c>
      <c r="G95" s="8">
        <v>100</v>
      </c>
      <c r="H95" s="40" t="s">
        <v>226</v>
      </c>
      <c r="I95" t="e">
        <f t="shared" si="4"/>
        <v>#DIV/0!</v>
      </c>
    </row>
    <row r="96" spans="1:9" ht="24.75" customHeight="1" x14ac:dyDescent="0.25">
      <c r="A96" s="32" t="s">
        <v>227</v>
      </c>
      <c r="B96" s="25" t="s">
        <v>228</v>
      </c>
      <c r="C96" s="19" t="s">
        <v>38</v>
      </c>
      <c r="D96" s="19">
        <v>0</v>
      </c>
      <c r="E96" s="33">
        <f>'[1]расходы периода'!E29</f>
        <v>36.96</v>
      </c>
      <c r="F96" s="15">
        <f t="shared" si="6"/>
        <v>36.96</v>
      </c>
      <c r="G96" s="8">
        <v>100</v>
      </c>
      <c r="H96" s="40" t="s">
        <v>229</v>
      </c>
      <c r="I96" t="e">
        <f t="shared" si="4"/>
        <v>#DIV/0!</v>
      </c>
    </row>
    <row r="97" spans="1:9" ht="24.75" customHeight="1" x14ac:dyDescent="0.25">
      <c r="A97" s="52" t="s">
        <v>230</v>
      </c>
      <c r="B97" s="53" t="s">
        <v>231</v>
      </c>
      <c r="C97" s="19" t="s">
        <v>38</v>
      </c>
      <c r="D97" s="19">
        <v>0</v>
      </c>
      <c r="E97" s="33">
        <f>'[1]расходы периода'!E30</f>
        <v>385.37</v>
      </c>
      <c r="F97" s="15">
        <f t="shared" si="6"/>
        <v>385.37</v>
      </c>
      <c r="G97" s="8">
        <v>100</v>
      </c>
      <c r="H97" s="51" t="s">
        <v>220</v>
      </c>
      <c r="I97" t="e">
        <f t="shared" si="4"/>
        <v>#DIV/0!</v>
      </c>
    </row>
    <row r="98" spans="1:9" ht="24.75" customHeight="1" x14ac:dyDescent="0.25">
      <c r="A98" s="52" t="s">
        <v>232</v>
      </c>
      <c r="B98" s="53" t="s">
        <v>233</v>
      </c>
      <c r="C98" s="19" t="s">
        <v>38</v>
      </c>
      <c r="D98" s="19">
        <v>0</v>
      </c>
      <c r="E98" s="33">
        <f>'[1]расходы периода'!E31</f>
        <v>55.23</v>
      </c>
      <c r="F98" s="15">
        <f t="shared" si="6"/>
        <v>55.23</v>
      </c>
      <c r="G98" s="8">
        <v>100</v>
      </c>
      <c r="H98" s="54" t="s">
        <v>234</v>
      </c>
      <c r="I98" t="e">
        <f t="shared" si="4"/>
        <v>#DIV/0!</v>
      </c>
    </row>
    <row r="99" spans="1:9" ht="24.75" customHeight="1" x14ac:dyDescent="0.25">
      <c r="A99" s="52" t="s">
        <v>235</v>
      </c>
      <c r="B99" s="53" t="s">
        <v>236</v>
      </c>
      <c r="C99" s="19" t="s">
        <v>38</v>
      </c>
      <c r="D99" s="19">
        <v>0</v>
      </c>
      <c r="E99" s="33">
        <f>'[1]расходы периода'!E32</f>
        <v>307.45</v>
      </c>
      <c r="F99" s="15">
        <f t="shared" si="6"/>
        <v>307.45</v>
      </c>
      <c r="G99" s="8">
        <v>100</v>
      </c>
      <c r="H99" s="54" t="s">
        <v>237</v>
      </c>
      <c r="I99" t="e">
        <f t="shared" si="4"/>
        <v>#DIV/0!</v>
      </c>
    </row>
    <row r="100" spans="1:9" ht="24.75" customHeight="1" x14ac:dyDescent="0.25">
      <c r="A100" s="52" t="s">
        <v>238</v>
      </c>
      <c r="B100" s="53" t="s">
        <v>239</v>
      </c>
      <c r="C100" s="19" t="s">
        <v>38</v>
      </c>
      <c r="D100" s="19">
        <v>0</v>
      </c>
      <c r="E100" s="33">
        <f>'[1]расходы периода'!E33</f>
        <v>1008</v>
      </c>
      <c r="F100" s="15">
        <f t="shared" si="6"/>
        <v>1008</v>
      </c>
      <c r="G100" s="8">
        <v>100</v>
      </c>
      <c r="H100" s="40" t="s">
        <v>240</v>
      </c>
      <c r="I100" t="e">
        <f t="shared" si="4"/>
        <v>#DIV/0!</v>
      </c>
    </row>
    <row r="101" spans="1:9" ht="24.75" customHeight="1" x14ac:dyDescent="0.25">
      <c r="A101" s="55" t="s">
        <v>241</v>
      </c>
      <c r="B101" s="56" t="s">
        <v>242</v>
      </c>
      <c r="C101" s="8" t="s">
        <v>38</v>
      </c>
      <c r="D101" s="8">
        <f>D102+D103</f>
        <v>2048.2999999999997</v>
      </c>
      <c r="E101" s="31">
        <f>E102+E103</f>
        <v>5078.71</v>
      </c>
      <c r="F101" s="15">
        <f t="shared" si="5"/>
        <v>3030.4100000000003</v>
      </c>
      <c r="G101" s="8">
        <f t="shared" si="3"/>
        <v>147.94756627447154</v>
      </c>
      <c r="H101" s="26"/>
      <c r="I101">
        <f t="shared" si="4"/>
        <v>247.94756627447154</v>
      </c>
    </row>
    <row r="102" spans="1:9" ht="24.75" customHeight="1" x14ac:dyDescent="0.25">
      <c r="A102" s="52" t="s">
        <v>243</v>
      </c>
      <c r="B102" s="53" t="s">
        <v>244</v>
      </c>
      <c r="C102" s="19" t="s">
        <v>38</v>
      </c>
      <c r="D102" s="19">
        <v>287.2</v>
      </c>
      <c r="E102" s="33">
        <f>'[1]7. прочие расходы'!E8</f>
        <v>363.42</v>
      </c>
      <c r="F102" s="15">
        <f t="shared" si="5"/>
        <v>76.220000000000027</v>
      </c>
      <c r="G102" s="8">
        <f t="shared" si="3"/>
        <v>26.538997214484695</v>
      </c>
      <c r="H102" s="54" t="s">
        <v>245</v>
      </c>
      <c r="I102">
        <f t="shared" si="4"/>
        <v>126.5389972144847</v>
      </c>
    </row>
    <row r="103" spans="1:9" ht="24.75" customHeight="1" x14ac:dyDescent="0.25">
      <c r="A103" s="52" t="s">
        <v>246</v>
      </c>
      <c r="B103" s="57" t="s">
        <v>247</v>
      </c>
      <c r="C103" s="19" t="s">
        <v>38</v>
      </c>
      <c r="D103" s="19">
        <v>1761.1</v>
      </c>
      <c r="E103" s="33">
        <f>'[1]7. прочие расходы'!G9</f>
        <v>4715.29</v>
      </c>
      <c r="F103" s="15">
        <f t="shared" si="5"/>
        <v>2954.19</v>
      </c>
      <c r="G103" s="8">
        <f t="shared" si="3"/>
        <v>167.74686275623191</v>
      </c>
      <c r="H103" s="54" t="s">
        <v>248</v>
      </c>
      <c r="I103">
        <f t="shared" si="4"/>
        <v>267.74686275623191</v>
      </c>
    </row>
    <row r="104" spans="1:9" ht="24.75" customHeight="1" x14ac:dyDescent="0.25">
      <c r="A104" s="34" t="s">
        <v>249</v>
      </c>
      <c r="B104" s="15" t="s">
        <v>250</v>
      </c>
      <c r="C104" s="8" t="s">
        <v>38</v>
      </c>
      <c r="D104" s="8">
        <f>D6+D64+D101</f>
        <v>4520016.3575999998</v>
      </c>
      <c r="E104" s="31">
        <f>E6+E64+E101</f>
        <v>4926891.1471983669</v>
      </c>
      <c r="F104" s="15">
        <f t="shared" si="5"/>
        <v>406874.78959836718</v>
      </c>
      <c r="G104" s="8">
        <f t="shared" si="3"/>
        <v>9.0016220608194004</v>
      </c>
      <c r="H104" s="36"/>
      <c r="I104">
        <f t="shared" si="4"/>
        <v>109.0016220608194</v>
      </c>
    </row>
    <row r="105" spans="1:9" ht="24.75" customHeight="1" x14ac:dyDescent="0.25">
      <c r="A105" s="32" t="s">
        <v>251</v>
      </c>
      <c r="B105" s="25" t="s">
        <v>252</v>
      </c>
      <c r="C105" s="19" t="s">
        <v>38</v>
      </c>
      <c r="D105" s="19">
        <v>0</v>
      </c>
      <c r="E105" s="33">
        <f>E108-E104</f>
        <v>-828612.80104004126</v>
      </c>
      <c r="F105" s="15">
        <f t="shared" si="5"/>
        <v>-828612.80104004126</v>
      </c>
      <c r="G105" s="8">
        <v>100</v>
      </c>
      <c r="H105" s="30" t="s">
        <v>253</v>
      </c>
      <c r="I105" t="e">
        <f t="shared" si="4"/>
        <v>#DIV/0!</v>
      </c>
    </row>
    <row r="106" spans="1:9" ht="24.75" customHeight="1" x14ac:dyDescent="0.25">
      <c r="A106" s="32" t="s">
        <v>254</v>
      </c>
      <c r="B106" s="25" t="s">
        <v>255</v>
      </c>
      <c r="C106" s="19" t="s">
        <v>38</v>
      </c>
      <c r="D106" s="19">
        <v>0</v>
      </c>
      <c r="E106" s="19">
        <v>0</v>
      </c>
      <c r="F106" s="15">
        <f t="shared" si="5"/>
        <v>0</v>
      </c>
      <c r="G106" s="8">
        <v>0</v>
      </c>
      <c r="H106" s="36"/>
      <c r="I106" t="e">
        <f t="shared" si="4"/>
        <v>#DIV/0!</v>
      </c>
    </row>
    <row r="107" spans="1:9" ht="24.75" customHeight="1" x14ac:dyDescent="0.25">
      <c r="A107" s="32" t="s">
        <v>256</v>
      </c>
      <c r="B107" s="25" t="s">
        <v>257</v>
      </c>
      <c r="C107" s="19" t="s">
        <v>38</v>
      </c>
      <c r="D107" s="19">
        <v>0</v>
      </c>
      <c r="E107" s="19">
        <v>0</v>
      </c>
      <c r="F107" s="15">
        <f t="shared" si="5"/>
        <v>0</v>
      </c>
      <c r="G107" s="8">
        <v>0</v>
      </c>
      <c r="H107" s="36"/>
      <c r="I107" t="e">
        <f t="shared" si="4"/>
        <v>#DIV/0!</v>
      </c>
    </row>
    <row r="108" spans="1:9" ht="24.75" customHeight="1" x14ac:dyDescent="0.25">
      <c r="A108" s="32" t="s">
        <v>258</v>
      </c>
      <c r="B108" s="25" t="s">
        <v>259</v>
      </c>
      <c r="C108" s="19" t="s">
        <v>38</v>
      </c>
      <c r="D108" s="19">
        <f>D104+D105</f>
        <v>4520016.3575999998</v>
      </c>
      <c r="E108" s="19">
        <f>5237714.45328-'[1]отчет снабжение'!E28</f>
        <v>4098278.3461583257</v>
      </c>
      <c r="F108" s="15">
        <f t="shared" si="5"/>
        <v>-421738.01144167408</v>
      </c>
      <c r="G108" s="8">
        <f t="shared" si="3"/>
        <v>-9.3304532124659119</v>
      </c>
      <c r="H108" s="36" t="s">
        <v>260</v>
      </c>
      <c r="I108">
        <f t="shared" si="4"/>
        <v>90.669546787534088</v>
      </c>
    </row>
    <row r="109" spans="1:9" ht="24.75" customHeight="1" x14ac:dyDescent="0.25">
      <c r="A109" s="32"/>
      <c r="B109" s="25" t="s">
        <v>261</v>
      </c>
      <c r="C109" s="19" t="s">
        <v>38</v>
      </c>
      <c r="D109" s="19">
        <v>3419.5</v>
      </c>
      <c r="E109" s="19"/>
      <c r="F109" s="15">
        <f t="shared" si="5"/>
        <v>-3419.5</v>
      </c>
      <c r="G109" s="8">
        <f t="shared" si="3"/>
        <v>-100</v>
      </c>
      <c r="H109" s="36"/>
      <c r="I109">
        <f t="shared" si="4"/>
        <v>0</v>
      </c>
    </row>
    <row r="110" spans="1:9" ht="24.75" customHeight="1" x14ac:dyDescent="0.25">
      <c r="A110" s="32"/>
      <c r="B110" s="25" t="s">
        <v>262</v>
      </c>
      <c r="C110" s="19" t="s">
        <v>38</v>
      </c>
      <c r="D110" s="19">
        <f>D108-D109</f>
        <v>4516596.8575999998</v>
      </c>
      <c r="E110" s="19">
        <f>E108-E109</f>
        <v>4098278.3461583257</v>
      </c>
      <c r="F110" s="15">
        <f t="shared" si="5"/>
        <v>-418318.51144167408</v>
      </c>
      <c r="G110" s="8">
        <f t="shared" si="3"/>
        <v>-9.2618076093680344</v>
      </c>
      <c r="H110" s="36"/>
      <c r="I110">
        <f t="shared" si="4"/>
        <v>90.738192390631966</v>
      </c>
    </row>
    <row r="111" spans="1:9" ht="24.75" customHeight="1" x14ac:dyDescent="0.3">
      <c r="A111" s="34" t="s">
        <v>251</v>
      </c>
      <c r="B111" s="15" t="s">
        <v>263</v>
      </c>
      <c r="C111" s="8" t="s">
        <v>264</v>
      </c>
      <c r="D111" s="8">
        <v>742790</v>
      </c>
      <c r="E111" s="27">
        <v>718156.06900000002</v>
      </c>
      <c r="F111" s="8">
        <f t="shared" si="5"/>
        <v>-24633.930999999982</v>
      </c>
      <c r="G111" s="8">
        <f t="shared" si="3"/>
        <v>-3.3164058482208958</v>
      </c>
      <c r="H111" s="36"/>
      <c r="I111">
        <f t="shared" si="4"/>
        <v>96.683594151779104</v>
      </c>
    </row>
    <row r="112" spans="1:9" ht="24.75" customHeight="1" x14ac:dyDescent="0.25">
      <c r="A112" s="32" t="s">
        <v>265</v>
      </c>
      <c r="B112" s="58" t="s">
        <v>266</v>
      </c>
      <c r="C112" s="32" t="s">
        <v>267</v>
      </c>
      <c r="D112" s="19">
        <f>D110/D111*1000</f>
        <v>6080.5838226147362</v>
      </c>
      <c r="E112" s="19">
        <f>E110/E111*1000</f>
        <v>5706.6681228009311</v>
      </c>
      <c r="F112" s="8">
        <f t="shared" si="5"/>
        <v>-373.91569981380508</v>
      </c>
      <c r="G112" s="8">
        <f t="shared" si="3"/>
        <v>-6.1493387924881233</v>
      </c>
      <c r="H112" s="36" t="s">
        <v>268</v>
      </c>
      <c r="I112">
        <f t="shared" si="4"/>
        <v>93.850661207511877</v>
      </c>
    </row>
    <row r="113" spans="1:7" ht="19.5" customHeight="1" x14ac:dyDescent="0.3">
      <c r="A113" s="59"/>
      <c r="B113" s="60"/>
      <c r="C113" s="61"/>
      <c r="D113" s="61"/>
      <c r="E113" s="61"/>
      <c r="F113" s="62"/>
      <c r="G113" s="62"/>
    </row>
    <row r="114" spans="1:7" ht="19.5" customHeight="1" x14ac:dyDescent="0.3">
      <c r="A114" s="12"/>
      <c r="B114" s="63" t="s">
        <v>269</v>
      </c>
      <c r="C114" s="12"/>
      <c r="D114" s="12"/>
      <c r="E114" s="12"/>
      <c r="F114" s="62"/>
      <c r="G114" s="62"/>
    </row>
    <row r="115" spans="1:7" ht="19.5" customHeight="1" x14ac:dyDescent="0.3">
      <c r="A115" s="12"/>
      <c r="B115" s="15" t="s">
        <v>270</v>
      </c>
      <c r="C115" s="15" t="s">
        <v>271</v>
      </c>
      <c r="D115" s="17">
        <v>398</v>
      </c>
      <c r="E115" s="17">
        <v>398</v>
      </c>
      <c r="F115" s="64"/>
      <c r="G115" s="62"/>
    </row>
    <row r="116" spans="1:7" ht="19.5" customHeight="1" x14ac:dyDescent="0.3">
      <c r="A116" s="19"/>
      <c r="B116" s="25" t="s">
        <v>272</v>
      </c>
      <c r="C116" s="25"/>
      <c r="D116" s="12"/>
      <c r="E116" s="12"/>
      <c r="F116" s="62"/>
      <c r="G116" s="62"/>
    </row>
    <row r="117" spans="1:7" ht="19.5" customHeight="1" x14ac:dyDescent="0.3">
      <c r="A117" s="19"/>
      <c r="B117" s="25" t="s">
        <v>273</v>
      </c>
      <c r="C117" s="25"/>
      <c r="D117" s="12">
        <v>150</v>
      </c>
      <c r="E117" s="12">
        <v>150</v>
      </c>
      <c r="F117" s="62"/>
      <c r="G117" s="62"/>
    </row>
    <row r="118" spans="1:7" ht="19.5" customHeight="1" x14ac:dyDescent="0.3">
      <c r="A118" s="19"/>
      <c r="B118" s="25" t="s">
        <v>274</v>
      </c>
      <c r="C118" s="25"/>
      <c r="D118" s="12">
        <v>151</v>
      </c>
      <c r="E118" s="12">
        <v>151</v>
      </c>
      <c r="F118" s="62"/>
      <c r="G118" s="62"/>
    </row>
    <row r="119" spans="1:7" ht="19.5" customHeight="1" x14ac:dyDescent="0.3">
      <c r="A119" s="19"/>
      <c r="B119" s="25" t="s">
        <v>275</v>
      </c>
      <c r="C119" s="25"/>
      <c r="D119" s="12">
        <v>36</v>
      </c>
      <c r="E119" s="12">
        <v>36</v>
      </c>
      <c r="F119" s="62"/>
      <c r="G119" s="62"/>
    </row>
    <row r="120" spans="1:7" ht="19.5" customHeight="1" x14ac:dyDescent="0.3">
      <c r="A120" s="19"/>
      <c r="B120" s="15" t="s">
        <v>276</v>
      </c>
      <c r="C120" s="15" t="s">
        <v>25</v>
      </c>
      <c r="D120" s="8">
        <f>(D121+D122+D123)/3</f>
        <v>172587.31156487612</v>
      </c>
      <c r="E120" s="8">
        <f>(E121+E122+E123)/3</f>
        <v>171200.87738124435</v>
      </c>
      <c r="F120" s="62"/>
      <c r="G120" s="62"/>
    </row>
    <row r="121" spans="1:7" ht="19.5" customHeight="1" x14ac:dyDescent="0.3">
      <c r="A121" s="19"/>
      <c r="B121" s="25" t="s">
        <v>273</v>
      </c>
      <c r="C121" s="25"/>
      <c r="D121" s="19">
        <f>D32/D117/12*1000</f>
        <v>162522.27777777775</v>
      </c>
      <c r="E121" s="19">
        <f>E32/E117/12*1000</f>
        <v>160666.66666666666</v>
      </c>
      <c r="F121" s="62"/>
      <c r="G121" s="62"/>
    </row>
    <row r="122" spans="1:7" ht="19.5" customHeight="1" x14ac:dyDescent="0.3">
      <c r="A122" s="19"/>
      <c r="B122" s="25" t="s">
        <v>274</v>
      </c>
      <c r="C122" s="25"/>
      <c r="D122" s="19">
        <f>D40/D118/12*1000</f>
        <v>162522.29580573953</v>
      </c>
      <c r="E122" s="19">
        <f>E40/E118/12*1000</f>
        <v>160264.90066225166</v>
      </c>
      <c r="F122" s="62"/>
      <c r="G122" s="62"/>
    </row>
    <row r="123" spans="1:7" ht="19.5" customHeight="1" x14ac:dyDescent="0.3">
      <c r="A123" s="19"/>
      <c r="B123" s="25" t="s">
        <v>275</v>
      </c>
      <c r="C123" s="25"/>
      <c r="D123" s="19">
        <f>D67/D119/12*1000</f>
        <v>192717.36111111109</v>
      </c>
      <c r="E123" s="19">
        <f>E67/E119/12*1000</f>
        <v>192671.0648148148</v>
      </c>
      <c r="F123" s="62"/>
      <c r="G123" s="62"/>
    </row>
    <row r="124" spans="1:7" ht="19.5" customHeight="1" x14ac:dyDescent="0.3">
      <c r="A124" s="19"/>
      <c r="B124" s="25" t="s">
        <v>277</v>
      </c>
      <c r="C124" s="25"/>
      <c r="D124" s="12"/>
      <c r="E124" s="12"/>
      <c r="F124" s="62"/>
      <c r="G124" s="62"/>
    </row>
    <row r="125" spans="1:7" ht="19.5" customHeight="1" x14ac:dyDescent="0.3">
      <c r="A125" s="19"/>
      <c r="B125" s="25" t="s">
        <v>278</v>
      </c>
      <c r="C125" s="25"/>
      <c r="D125" s="12">
        <f>D47</f>
        <v>56015.199999999997</v>
      </c>
      <c r="E125" s="12">
        <f>E47</f>
        <v>82227.627553699989</v>
      </c>
      <c r="F125" s="62"/>
      <c r="G125" s="62"/>
    </row>
    <row r="126" spans="1:7" ht="19.5" customHeight="1" x14ac:dyDescent="0.3">
      <c r="A126" s="19"/>
      <c r="B126" s="25" t="s">
        <v>279</v>
      </c>
      <c r="C126" s="25"/>
      <c r="D126" s="19">
        <v>670284.4</v>
      </c>
      <c r="E126" s="19">
        <f>E40</f>
        <v>290400</v>
      </c>
      <c r="F126" s="62"/>
      <c r="G126" s="62"/>
    </row>
    <row r="127" spans="1:7" ht="19.5" customHeight="1" x14ac:dyDescent="0.3">
      <c r="A127" s="19"/>
      <c r="B127" s="25" t="s">
        <v>280</v>
      </c>
      <c r="C127" s="25"/>
      <c r="D127" s="19">
        <f>D41</f>
        <v>37989.281600000002</v>
      </c>
      <c r="E127" s="19">
        <f>E41</f>
        <v>36540.617471160003</v>
      </c>
      <c r="F127" s="62"/>
      <c r="G127" s="62"/>
    </row>
    <row r="128" spans="1:7" x14ac:dyDescent="0.3">
      <c r="A128" s="61"/>
      <c r="B128" s="60"/>
      <c r="C128" s="60"/>
      <c r="D128" s="60"/>
      <c r="E128" s="60"/>
      <c r="F128" s="60"/>
      <c r="G128" s="65"/>
    </row>
    <row r="129" spans="1:7" x14ac:dyDescent="0.3">
      <c r="A129" s="61"/>
      <c r="B129" s="60"/>
      <c r="C129" s="60"/>
      <c r="D129" s="60"/>
      <c r="E129" s="60"/>
      <c r="F129" s="60"/>
      <c r="G129" s="65"/>
    </row>
    <row r="130" spans="1:7" x14ac:dyDescent="0.3">
      <c r="A130" s="61"/>
      <c r="B130" s="60"/>
      <c r="C130" s="60"/>
      <c r="D130" s="60"/>
      <c r="E130" s="60"/>
      <c r="F130" s="60"/>
      <c r="G130" s="65"/>
    </row>
    <row r="131" spans="1:7" x14ac:dyDescent="0.3">
      <c r="D131" s="68"/>
      <c r="E131" s="68"/>
      <c r="F131" s="68"/>
    </row>
    <row r="132" spans="1:7" x14ac:dyDescent="0.3">
      <c r="B132" s="70" t="s">
        <v>281</v>
      </c>
      <c r="C132" s="71"/>
      <c r="D132" s="71" t="s">
        <v>282</v>
      </c>
    </row>
    <row r="133" spans="1:7" x14ac:dyDescent="0.3">
      <c r="B133" s="70"/>
      <c r="C133" s="71"/>
      <c r="D133" s="71"/>
      <c r="E133" s="72"/>
      <c r="F133" s="72"/>
    </row>
    <row r="134" spans="1:7" x14ac:dyDescent="0.3">
      <c r="F134" s="73"/>
    </row>
    <row r="135" spans="1:7" x14ac:dyDescent="0.3">
      <c r="B135" s="74"/>
      <c r="C135" s="72"/>
      <c r="D135" s="72"/>
    </row>
    <row r="136" spans="1:7" x14ac:dyDescent="0.3">
      <c r="E136" s="75"/>
      <c r="F136" s="75"/>
      <c r="G136" s="65"/>
    </row>
    <row r="137" spans="1:7" x14ac:dyDescent="0.3">
      <c r="B137" s="70" t="s">
        <v>283</v>
      </c>
      <c r="C137" s="71"/>
      <c r="D137" s="76" t="s">
        <v>284</v>
      </c>
      <c r="E137" s="73"/>
      <c r="F137" s="75"/>
      <c r="G137" s="77"/>
    </row>
    <row r="138" spans="1:7" x14ac:dyDescent="0.3">
      <c r="E138" s="75"/>
      <c r="F138" s="75"/>
      <c r="G138" s="65"/>
    </row>
    <row r="139" spans="1:7" x14ac:dyDescent="0.3">
      <c r="E139" s="75"/>
      <c r="F139" s="75"/>
      <c r="G139" s="65"/>
    </row>
    <row r="140" spans="1:7" x14ac:dyDescent="0.3">
      <c r="E140" s="75"/>
      <c r="F140" s="75"/>
      <c r="G140" s="65"/>
    </row>
    <row r="141" spans="1:7" x14ac:dyDescent="0.3">
      <c r="E141" s="78"/>
      <c r="F141" s="78"/>
      <c r="G141" s="65"/>
    </row>
    <row r="142" spans="1:7" x14ac:dyDescent="0.3">
      <c r="E142" s="78"/>
      <c r="F142" s="78"/>
      <c r="G142" s="65"/>
    </row>
    <row r="143" spans="1:7" x14ac:dyDescent="0.3">
      <c r="E143" s="78"/>
      <c r="F143" s="78"/>
      <c r="G143" s="65"/>
    </row>
  </sheetData>
  <mergeCells count="3">
    <mergeCell ref="B1:G1"/>
    <mergeCell ref="A2:G2"/>
    <mergeCell ref="A3:G3"/>
  </mergeCells>
  <pageMargins left="0.9055118110236221" right="0.31496062992125984" top="0.74803149606299213" bottom="0.74803149606299213" header="0.31496062992125984" footer="0.31496062992125984"/>
  <pageSetup paperSize="9" scale="55" orientation="landscape" verticalDpi="0" r:id="rId1"/>
  <rowBreaks count="3" manualBreakCount="3">
    <brk id="69" max="6" man="1"/>
    <brk id="100" max="6" man="1"/>
    <brk id="1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Отчет производство</vt:lpstr>
      <vt:lpstr>Лист1</vt:lpstr>
      <vt:lpstr>Лист2</vt:lpstr>
      <vt:lpstr>Лист3</vt:lpstr>
      <vt:lpstr>'Отчет производство'!Область_печати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2026-07-24T11:52:11Z</dcterms:modified>
</cp:coreProperties>
</file>